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汇总表" sheetId="22" r:id="rId1"/>
    <sheet name="路面" sheetId="14" r:id="rId2"/>
    <sheet name="桥梁" sheetId="18" r:id="rId3"/>
    <sheet name="隧道" sheetId="19" r:id="rId4"/>
    <sheet name="安全提升" sheetId="16" r:id="rId5"/>
    <sheet name="灾害防治" sheetId="17" r:id="rId6"/>
    <sheet name="灾毁恢复重建" sheetId="20" r:id="rId7"/>
    <sheet name="服务设施" sheetId="21" r:id="rId8"/>
    <sheet name="降速专项" sheetId="15" r:id="rId9"/>
  </sheets>
  <externalReferences>
    <externalReference r:id="rId10"/>
    <externalReference r:id="rId11"/>
    <externalReference r:id="rId12"/>
  </externalReferences>
  <definedNames>
    <definedName name="_xlnm._FilterDatabase" localSheetId="1" hidden="1">路面!$A$3:$AD$98</definedName>
    <definedName name="_xlnm._FilterDatabase" localSheetId="2" hidden="1">桥梁!$A$3:$AB$30</definedName>
    <definedName name="_xlnm._FilterDatabase" localSheetId="4" hidden="1">安全提升!$A$3:$S$185</definedName>
    <definedName name="_xlnm._FilterDatabase" localSheetId="5" hidden="1">灾害防治!$A$2:$S$36</definedName>
    <definedName name="_xlnm._FilterDatabase" localSheetId="8" hidden="1">降速专项!$A$4:$O$578</definedName>
    <definedName name="_xlnm.Print_Area" localSheetId="1">路面!$A$1:$AD$98</definedName>
    <definedName name="_xlnm.Print_Titles" localSheetId="1">路面!$1:$3</definedName>
    <definedName name="_xlnm.Print_Area" localSheetId="8">降速专项!$A:$O</definedName>
    <definedName name="_xlnm.Print_Titles" localSheetId="8">降速专项!$1:$3</definedName>
    <definedName name="_xlnm.Print_Area" localSheetId="4">安全提升!$A$1:$O$185</definedName>
    <definedName name="_xlnm.Print_Titles" localSheetId="4">安全提升!$1:$3</definedName>
    <definedName name="_xlnm.Print_Titles" localSheetId="5">灾害防治!$1:$2</definedName>
    <definedName name="aa">#REF!</definedName>
    <definedName name="hh">#REF!</definedName>
    <definedName name="luw">#REF!</definedName>
    <definedName name="luwh">#REF!</definedName>
    <definedName name="luwqng">#REF!</definedName>
    <definedName name="_xlnm.Print_Area" hidden="1">#REF!</definedName>
    <definedName name="Print_Area_MI">#REF!</definedName>
    <definedName name="_xlnm.Print_Titles" hidden="1">#N/A</definedName>
    <definedName name="vsdm">#REF!</definedName>
    <definedName name="公路">#REF!</definedName>
    <definedName name="国防公路车购税">#REF!</definedName>
    <definedName name="路">#REF!</definedName>
    <definedName name="路1">#REF!</definedName>
    <definedName name="路网">#REF!</definedName>
    <definedName name="路网1">#REF!</definedName>
    <definedName name="亲切">[1]区划代码!$P$2:$P$41</definedName>
    <definedName name="省份列表">[2]区划代码!$A$2:$A$35</definedName>
    <definedName name="是否选择">#REF!</definedName>
    <definedName name="县城列表">#REF!</definedName>
    <definedName name="新05">#REF!</definedName>
    <definedName name="전">#REF!</definedName>
    <definedName name="주택사업본부">#REF!</definedName>
    <definedName name="철구사업본부">#REF!</definedName>
    <definedName name="_xlnm.Print_Area" localSheetId="2">桥梁!$A$1:$AB$30</definedName>
    <definedName name="_xlnm.Print_Titles" localSheetId="2">桥梁!$1:$3</definedName>
    <definedName name="Range13">[3]Ranges!$N$1:$N$6</definedName>
    <definedName name="_xlnm.Print_Titles" localSheetId="6">灾毁恢复重建!$2:$2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吴智荣</author>
    <author>赖康伟</author>
  </authors>
  <commentList>
    <comment ref="T12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原为5+4，再+4？</t>
        </r>
      </text>
    </comment>
    <comment ref="T16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原为6+4，再+4？</t>
        </r>
      </text>
    </comment>
    <comment ref="I17" authorId="1">
      <text>
        <r>
          <rPr>
            <b/>
            <sz val="9"/>
            <rFont val="宋体"/>
            <charset val="134"/>
          </rPr>
          <t>赖康伟:</t>
        </r>
        <r>
          <rPr>
            <sz val="9"/>
            <rFont val="宋体"/>
            <charset val="134"/>
          </rPr>
          <t xml:space="preserve">
901.3</t>
        </r>
      </text>
    </comment>
    <comment ref="J17" authorId="1">
      <text>
        <r>
          <rPr>
            <b/>
            <sz val="9"/>
            <rFont val="宋体"/>
            <charset val="134"/>
          </rPr>
          <t>赖康伟:</t>
        </r>
        <r>
          <rPr>
            <sz val="9"/>
            <rFont val="宋体"/>
            <charset val="134"/>
          </rPr>
          <t xml:space="preserve">
903.3</t>
        </r>
      </text>
    </comment>
    <comment ref="T24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原为3+6，铣刨4？</t>
        </r>
      </text>
    </comment>
    <comment ref="T47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原为6，+3？是否+4？</t>
        </r>
      </text>
    </comment>
    <comment ref="J52" authorId="1">
      <text>
        <r>
          <rPr>
            <b/>
            <sz val="9"/>
            <rFont val="宋体"/>
            <charset val="134"/>
          </rPr>
          <t>赖康伟:</t>
        </r>
        <r>
          <rPr>
            <sz val="9"/>
            <rFont val="宋体"/>
            <charset val="134"/>
          </rPr>
          <t xml:space="preserve">
2212.321</t>
        </r>
      </text>
    </comment>
    <comment ref="T52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原为4+5，铣刨3？</t>
        </r>
      </text>
    </comment>
    <comment ref="I53" authorId="1">
      <text>
        <r>
          <rPr>
            <b/>
            <sz val="9"/>
            <rFont val="宋体"/>
            <charset val="134"/>
          </rPr>
          <t>赖康伟:</t>
        </r>
        <r>
          <rPr>
            <sz val="9"/>
            <rFont val="宋体"/>
            <charset val="134"/>
          </rPr>
          <t xml:space="preserve">
2212.321</t>
        </r>
      </text>
    </comment>
    <comment ref="T62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原为5+5+3，铣刨3，+4？</t>
        </r>
      </text>
    </comment>
    <comment ref="T71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原为6+4，再+4？</t>
        </r>
      </text>
    </comment>
    <comment ref="T93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原为6+4+3，铣刨重铺4？</t>
        </r>
      </text>
    </comment>
    <comment ref="T96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原为5+3+4？再+4？</t>
        </r>
      </text>
    </comment>
  </commentList>
</comments>
</file>

<file path=xl/sharedStrings.xml><?xml version="1.0" encoding="utf-8"?>
<sst xmlns="http://schemas.openxmlformats.org/spreadsheetml/2006/main" count="6299" uniqueCount="1639">
  <si>
    <t>2025年赣州市普通国省道养护工程项目库汇总表</t>
  </si>
  <si>
    <t>序号</t>
  </si>
  <si>
    <t>项目类型</t>
  </si>
  <si>
    <t>项目个数</t>
  </si>
  <si>
    <t>规模（公里、座）</t>
  </si>
  <si>
    <t>估算总投资（万元）</t>
  </si>
  <si>
    <t>入库项目合计</t>
  </si>
  <si>
    <t>1、路面养护工程合计</t>
  </si>
  <si>
    <t>大修</t>
  </si>
  <si>
    <t>中修</t>
  </si>
  <si>
    <t>预防性</t>
  </si>
  <si>
    <t>2、桥隧项目合计</t>
  </si>
  <si>
    <t>危旧桥改造</t>
  </si>
  <si>
    <t>桥梁加固工程</t>
  </si>
  <si>
    <t>桥梁修复养护工程</t>
  </si>
  <si>
    <t>隧道改造</t>
  </si>
  <si>
    <t>3、安全精细化提升</t>
  </si>
  <si>
    <t>4、灾害防治</t>
  </si>
  <si>
    <t>5、灾毁恢复重建</t>
  </si>
  <si>
    <t>6、服务设施</t>
  </si>
  <si>
    <t>/</t>
  </si>
  <si>
    <t>7、“降速”专项</t>
  </si>
  <si>
    <t>审查意见</t>
  </si>
  <si>
    <t>2025年赣州市普通国省道养护工程项目库路面养护工程项目清单</t>
  </si>
  <si>
    <t>计划性核查</t>
  </si>
  <si>
    <t>现场核查意见</t>
  </si>
  <si>
    <t>会议审定意见</t>
  </si>
  <si>
    <t>县（市、区）</t>
  </si>
  <si>
    <t>路线
编号</t>
  </si>
  <si>
    <t>项目名称</t>
  </si>
  <si>
    <t>2024年电子地图桩号</t>
  </si>
  <si>
    <t>路段位置</t>
  </si>
  <si>
    <t>实施里程
（公里）</t>
  </si>
  <si>
    <t>技术
等级</t>
  </si>
  <si>
    <t>路面
宽度</t>
  </si>
  <si>
    <t>原路面
类型</t>
  </si>
  <si>
    <t>原路面结构</t>
  </si>
  <si>
    <t>估算总投资(万元）</t>
  </si>
  <si>
    <t>估算建安费(万元）</t>
  </si>
  <si>
    <t>建设性质（预防性/中修/大修）</t>
  </si>
  <si>
    <t>建议处治方案</t>
  </si>
  <si>
    <t>管养单位</t>
  </si>
  <si>
    <t>2024年度路面技术状况</t>
  </si>
  <si>
    <t>平均日交通量（当量数）</t>
  </si>
  <si>
    <t>平均日交通量（大型客车及中型以上货车）</t>
  </si>
  <si>
    <t>实际路况病害描述（如路面损坏问题、裂缝问题、平整度问题、露骨麻面问题等）</t>
  </si>
  <si>
    <t>上一次计划安排情况</t>
  </si>
  <si>
    <t>升级改造安排情况</t>
  </si>
  <si>
    <t>备注</t>
  </si>
  <si>
    <t>起点桩号</t>
  </si>
  <si>
    <t>讫点桩号</t>
  </si>
  <si>
    <t>PQI</t>
  </si>
  <si>
    <t>PCI</t>
  </si>
  <si>
    <t>RQI</t>
  </si>
  <si>
    <t>2025年第一批路面工程项目库合计</t>
  </si>
  <si>
    <t>合计</t>
  </si>
  <si>
    <t>预防养护比例</t>
  </si>
  <si>
    <t>2025年第一批路面养护工程正选项目</t>
  </si>
  <si>
    <t>通过</t>
  </si>
  <si>
    <t>现场核查后，局部连续坑槽、唧浆、网裂同意上。</t>
  </si>
  <si>
    <t>同意入正选库。</t>
  </si>
  <si>
    <t>建设方案待定。</t>
  </si>
  <si>
    <t>定南县</t>
  </si>
  <si>
    <t>G238</t>
  </si>
  <si>
    <t>2025年定南县G238线路面预防养护工程</t>
  </si>
  <si>
    <t>老龙塘</t>
  </si>
  <si>
    <t>二级</t>
  </si>
  <si>
    <t>沥青</t>
  </si>
  <si>
    <t>15cm+15cm水稳层，5cm+4cm沥青混凝土路面</t>
  </si>
  <si>
    <r>
      <rPr>
        <sz val="10"/>
        <rFont val="宋体"/>
        <charset val="134"/>
      </rPr>
      <t>路面病害局部挖补，加铺</t>
    </r>
    <r>
      <rPr>
        <sz val="10"/>
        <color rgb="FFFF0000"/>
        <rFont val="宋体"/>
        <charset val="134"/>
      </rPr>
      <t>4cm</t>
    </r>
    <r>
      <rPr>
        <sz val="10"/>
        <rFont val="宋体"/>
        <charset val="134"/>
      </rPr>
      <t>AC-13沥青面层罩面</t>
    </r>
  </si>
  <si>
    <t>定南分中心</t>
  </si>
  <si>
    <t>坑槽频发、沉陷</t>
  </si>
  <si>
    <t>2022年</t>
  </si>
  <si>
    <t>无</t>
  </si>
  <si>
    <t>现场核查后局部连续坑槽、唧浆、网裂，同意上。</t>
  </si>
  <si>
    <t>安远县</t>
  </si>
  <si>
    <t>2025年安远县G238线修复养护路面大修工程</t>
  </si>
  <si>
    <t>观音垇-顿界石</t>
  </si>
  <si>
    <t>原15cm水稳基层+原4cm沥青面层+16cm水稳基层，9cm沥青混凝土路面</t>
  </si>
  <si>
    <t>铣刨原沥青面层和基层，重新铺设17cm厚水泥稳定碎石下基层+17cm 厚水泥陵稳定级配碎石上基层+6cm 厚中粒式沥青砼下面层+4cm 厚细粒式改性沥青砼上面层</t>
  </si>
  <si>
    <t>安远分中心</t>
  </si>
  <si>
    <t>网裂、车辙、龟裂</t>
  </si>
  <si>
    <t>2018年中修工程</t>
  </si>
  <si>
    <t>现场核查后坑槽、横向裂缝、网裂、露骨，同意上。</t>
  </si>
  <si>
    <t>铣刨旧路面，重铺21cm厚水泥稳定级配碎石基层+8cm厚ATB-25沥青柔性基层+6cm厚中粒式沥青砼下面层+4cm厚细粒式改沥青砼上面层。</t>
  </si>
  <si>
    <t>纵向裂缝、横向裂缝、坑槽、连续冒浆</t>
  </si>
  <si>
    <t>G238安远观音垇至顿界石路面改造工程</t>
  </si>
  <si>
    <t>现场核查后纵向裂缝、横向裂缝、坑槽、连续冒浆，同意上。</t>
  </si>
  <si>
    <t>麻面、坑槽、纵向裂缝、横向裂缝、网裂</t>
  </si>
  <si>
    <t>现场核查后麻面、坑槽、纵向裂缝、横向裂缝、网裂，同意上。</t>
  </si>
  <si>
    <t>2025年安远县G238线路面预防养护工程</t>
  </si>
  <si>
    <t>版石-石子头</t>
  </si>
  <si>
    <t>30cm水稳层+6cm沥青砼下面层+4cm改性沥青砼上面层</t>
  </si>
  <si>
    <r>
      <rPr>
        <sz val="10"/>
        <rFont val="宋体"/>
        <charset val="134"/>
      </rPr>
      <t>铣刨旧沥青路面，局部病害挖补，重铺</t>
    </r>
    <r>
      <rPr>
        <sz val="10"/>
        <color rgb="FFFF0000"/>
        <rFont val="宋体"/>
        <charset val="134"/>
      </rPr>
      <t>4cm</t>
    </r>
    <r>
      <rPr>
        <sz val="10"/>
        <rFont val="宋体"/>
        <charset val="134"/>
      </rPr>
      <t>厚改性沥青砼路面。</t>
    </r>
  </si>
  <si>
    <t>坑槽、裂缝、麻面</t>
  </si>
  <si>
    <t>2018年灾毁恢复重建工程</t>
  </si>
  <si>
    <t>2024年9月26日核查。路面网裂、露骨。桩号901.300-903.300建议入库安排。其余段视资金情况统筹安排。</t>
  </si>
  <si>
    <t>兴国县</t>
  </si>
  <si>
    <t>G319</t>
  </si>
  <si>
    <t>2025年兴国县G319线路面预防养护工程</t>
  </si>
  <si>
    <t>新圩子-坝子村</t>
  </si>
  <si>
    <t>4cm厚AC-13细粒式沥青砼上面层+6cm厚AC-16中粒式沥青混凝土下面层+8cm厚ATB-25沥青柔性基层+24cm厚水泥砼面板共振碎石化+水稳基层+垫层</t>
  </si>
  <si>
    <t>铣刨老路面4cm厚沥青砼上面层，病害挖补，重新铺筑4cm厚AC-13C细粒式改性沥青砼上面层。</t>
  </si>
  <si>
    <t>兴国分中心</t>
  </si>
  <si>
    <t>路面露骨、网裂等病害</t>
  </si>
  <si>
    <t>2018年大修</t>
  </si>
  <si>
    <t>2024年9月26日核查。路面网裂、露骨。建议入库安排。</t>
  </si>
  <si>
    <t>果园-江背</t>
  </si>
  <si>
    <t>2024年9月24日核查。路面裂缝、露骨。建议入库安排。</t>
  </si>
  <si>
    <t>2025年兴国县G238线路面预防养护工程</t>
  </si>
  <si>
    <t>贺堂</t>
  </si>
  <si>
    <t>6cm厚AC-16中粒式沥青砼面层+15cm厚水稳上基层+15cm厚水稳下基层+级配碎石底基层</t>
  </si>
  <si>
    <t>病害挖补，加铺4cm厚AC-13C细粒式改性沥青砼上面层。</t>
  </si>
  <si>
    <t>90.15</t>
  </si>
  <si>
    <t>86.93</t>
  </si>
  <si>
    <t>94.98</t>
  </si>
  <si>
    <t>路面露骨、横向裂缝等病害</t>
  </si>
  <si>
    <t>2017年改建</t>
  </si>
  <si>
    <t>寨脑-寨脑</t>
  </si>
  <si>
    <t>93.01</t>
  </si>
  <si>
    <t>94.95</t>
  </si>
  <si>
    <t>90.11</t>
  </si>
  <si>
    <t>崇胜村-下前桥</t>
  </si>
  <si>
    <t>91.73</t>
  </si>
  <si>
    <t>91.07</t>
  </si>
  <si>
    <t>92.73</t>
  </si>
  <si>
    <t>霞光村-太平大桥</t>
  </si>
  <si>
    <t>90.97</t>
  </si>
  <si>
    <t>87.45</t>
  </si>
  <si>
    <t>96.24</t>
  </si>
  <si>
    <t>蒙山-文溪</t>
  </si>
  <si>
    <t>4cm厚AC-13细粒式沥青砼上面层+6cm厚AC-16中粒式沥青混凝土下面层+8cm厚ATB-25沥青柔性基层+20cm厚水稳基层+原水泥砼面板碎石化</t>
  </si>
  <si>
    <t>2015年大修</t>
  </si>
  <si>
    <t>不通过，2022年安排预防性养护（344-348）</t>
  </si>
  <si>
    <t>同意入待定库。</t>
  </si>
  <si>
    <t>乌龙</t>
  </si>
  <si>
    <r>
      <rPr>
        <sz val="10"/>
        <color rgb="FFFF0000"/>
        <rFont val="宋体"/>
        <charset val="134"/>
      </rPr>
      <t>3cm</t>
    </r>
    <r>
      <rPr>
        <sz val="10"/>
        <rFont val="宋体"/>
        <charset val="134"/>
      </rPr>
      <t>厚AC-13细粒式沥青砼上面层+6cm厚AC-16中粒式沥青混凝土下面层+18cm厚水稳基层+级配碎石底基层</t>
    </r>
  </si>
  <si>
    <t>铣刨老路面3cm厚沥青砼上面层，病害挖补，重新铺筑4cm厚AC-13C细粒式改性沥青砼上面层。</t>
  </si>
  <si>
    <t>91.12</t>
  </si>
  <si>
    <t>92.6</t>
  </si>
  <si>
    <t>88.91</t>
  </si>
  <si>
    <t>2022年预防性,精准处治</t>
  </si>
  <si>
    <t>不通过，2022年安排预防性养护（349-357）</t>
  </si>
  <si>
    <t>龙口桥</t>
  </si>
  <si>
    <t>87.69</t>
  </si>
  <si>
    <t>88.5</t>
  </si>
  <si>
    <t>86.48</t>
  </si>
  <si>
    <t>龙口</t>
  </si>
  <si>
    <t>80.78</t>
  </si>
  <si>
    <t>76.2</t>
  </si>
  <si>
    <t>87.65</t>
  </si>
  <si>
    <t>2024年9月23日核查。路面车辙、坑槽、网裂。建议入库安排。</t>
  </si>
  <si>
    <t>瑞金市</t>
  </si>
  <si>
    <t>2025年瑞金市G319线路面预防养护工程</t>
  </si>
  <si>
    <t>排下</t>
  </si>
  <si>
    <t>共振碎石化+10cm沥青碎石基层+4cm沥青砼面层</t>
  </si>
  <si>
    <t>局部病害处置后加铺3cm厚AC-13细粒式改性沥青砼面层</t>
  </si>
  <si>
    <t>瑞金分中心</t>
  </si>
  <si>
    <t>89.79</t>
  </si>
  <si>
    <t>车辙、坑槽、网裂</t>
  </si>
  <si>
    <t>2017年大修</t>
  </si>
  <si>
    <t>路面磨损、露骨、部分路段存在纵向、横向裂缝，该段PQI较差、裂缝相对较多，与2023年第二批路面大修工程相接，建议安排预防性</t>
  </si>
  <si>
    <t>章贡区</t>
  </si>
  <si>
    <t>G105</t>
  </si>
  <si>
    <t>2025年章贡区G105线路面预防养护工程</t>
  </si>
  <si>
    <t>石岩前-和乐</t>
  </si>
  <si>
    <t>共振碎石化+下封层+8cm厚ATB-25柔性基层+6cm厚中粒式沥青砼下面层+4cm厚细粒式改性沥青砼上面层</t>
  </si>
  <si>
    <t>铣刨原沥青路面上面层，局部病害挖补，重新铺筑4cm厚细粒式改性沥青砼路面</t>
  </si>
  <si>
    <t>直属分中心</t>
  </si>
  <si>
    <t>路面纵横向裂缝、露骨麻面、老化、松散</t>
  </si>
  <si>
    <t>2015年实施白改黑</t>
  </si>
  <si>
    <t>赣县区</t>
  </si>
  <si>
    <t>2025年赣县区G105线路面预防养护工程</t>
  </si>
  <si>
    <t>上石村</t>
  </si>
  <si>
    <t>高峰-高峰村</t>
  </si>
  <si>
    <t>五云镇-石岩前</t>
  </si>
  <si>
    <t>2024年9月25日核查。路面纵横裂缝，局部坑槽，车辙。建议入库安排。</t>
  </si>
  <si>
    <t>石城县</t>
  </si>
  <si>
    <t>G356</t>
  </si>
  <si>
    <t>2025年石城县G356线路面预防养护工程</t>
  </si>
  <si>
    <t>屏山镇长江村官桥口</t>
  </si>
  <si>
    <t>9.0</t>
  </si>
  <si>
    <t>垫层+2层15cm十18cm厚水泥稳定碎石基层+6cm厚中粒式沥青砼下面层+4cm厚细粒式沥青上面层</t>
  </si>
  <si>
    <t>洗刨后重铺全幅4cm厚AC-13C细粒式改性沥青砼路面+黏层+恢复标线</t>
  </si>
  <si>
    <t>石城分中心</t>
  </si>
  <si>
    <t>纵横裂缝，麻面，局部坑槽，车辙，沥青条状修补多</t>
  </si>
  <si>
    <t>2020年G356线路面预防性养护</t>
  </si>
  <si>
    <t>屏山镇长江村花台</t>
  </si>
  <si>
    <t>8.5</t>
  </si>
  <si>
    <t>屏山镇新富村</t>
  </si>
  <si>
    <t>屏山镇罗陂村宁石亭</t>
  </si>
  <si>
    <t>不通过，2023年预防性养护计划（414.27-421.597）</t>
  </si>
  <si>
    <t>项目由24年甩项进入</t>
  </si>
  <si>
    <t>由23年项甩项进入。</t>
  </si>
  <si>
    <t>于都县</t>
  </si>
  <si>
    <t>S219</t>
  </si>
  <si>
    <t>2025年于都县S219线修复养护路面大修工程</t>
  </si>
  <si>
    <t>围下桥-三星村</t>
  </si>
  <si>
    <t>（4+6）cm沥青混凝土+34cm水泥稳定基层</t>
  </si>
  <si>
    <t>铣刨原4cm厚AC-13C细粒式改性沥青面层+6cmAC-20C中粒式沥青面层，挖除原有34cm厚水稳碎石基层，厂拌再生水泥稳定级配碎石17cm下基层+新铺17cm厚水稳碎石基层上基层，6cm厚中粒式沥靑砼下面层+4cm厚改性沥靑砼上面层。</t>
  </si>
  <si>
    <t>于都分中心</t>
  </si>
  <si>
    <t>414.257-415PQI:71.44
415-416PQI:73.86
416-417PQI:83.69
417-418PQI:86.5
418-419PQI:82.29
419-420PQI:82.19
420-421PQI:77.06
421-421.597PQI:78.05</t>
  </si>
  <si>
    <t>414.257-415PCI:66.96
415-416PCI:76.69
416-417PCI:85.37
417-418PCI:86.29
418-419PCI:81.21
419-420PCI:83.59
420-421PCI:83.28
421-421.597PCI:87.44</t>
  </si>
  <si>
    <t>414.257-415RQI:78.17
415-416RQI:69.61
416-417RQI:81.17
417-418RQI:86.81
418-419RQI:83.92
419-420RQI:80.08
420-421RQI:67.74
421-421.597RQI:63.96</t>
  </si>
  <si>
    <t>龟裂、裂缝、车辙、坑槽、松散、沥青条块状修补多、路基下沉</t>
  </si>
  <si>
    <t>全幅未做由23年甩项进入</t>
  </si>
  <si>
    <t>部分裂缝、车辙，建议安排</t>
  </si>
  <si>
    <t>S453</t>
  </si>
  <si>
    <t>2025年于都县S453线路面预防养护工程</t>
  </si>
  <si>
    <t>利村-连塘村出口</t>
  </si>
  <si>
    <t>三级</t>
  </si>
  <si>
    <t>6cm沥青混凝土+35cm水泥稳定基层</t>
  </si>
  <si>
    <t>加铺全幅6.5米4cm厚上面层+黏层</t>
  </si>
  <si>
    <t>0-1PQI:88.74 
1-2PQI:87.68</t>
  </si>
  <si>
    <t>0-1PCI:90.2
1-2PCI:91.2</t>
  </si>
  <si>
    <t>0-1RQI:86.54
1-2RQI:82.4</t>
  </si>
  <si>
    <t>坑槽，车辙，下沉纵、横裂缝，沥青条状修补多，</t>
  </si>
  <si>
    <t>2019年大修</t>
  </si>
  <si>
    <t>半迳-园岭村入口</t>
  </si>
  <si>
    <t>禾丰镇园岭村出口-金盆村</t>
  </si>
  <si>
    <t>禾丰镇金盆村-黄泥村</t>
  </si>
  <si>
    <t>车辙，下沉，拥包、裂缝</t>
  </si>
  <si>
    <t>2018年改建</t>
  </si>
  <si>
    <t>铁山垅镇隘上-隘上</t>
  </si>
  <si>
    <t>6cm沥青混凝土+18cm水泥稳定基层</t>
  </si>
  <si>
    <t>加铺全幅7米4cm厚上面层+黏层</t>
  </si>
  <si>
    <t>铁山垅镇中坑村-中坑村</t>
  </si>
  <si>
    <t>加铺全幅7米4cm厚上面层+黏层+(24.92-24.96)基层挖除补强+封层</t>
  </si>
  <si>
    <t>靖石乡田东村-田东村</t>
  </si>
  <si>
    <t>不通过，2022年计划（2122.646-2122.775），建议从2122.775起始。</t>
  </si>
  <si>
    <t>高速公路并行，统一安排</t>
  </si>
  <si>
    <t>由分中心上报精准性桩号。</t>
  </si>
  <si>
    <t>崇义县</t>
  </si>
  <si>
    <t>G220</t>
  </si>
  <si>
    <t>2025年崇义县G220线修复养护路面大修工程</t>
  </si>
  <si>
    <t>石底河-宝山隧道路口</t>
  </si>
  <si>
    <t>15cm碎石垫层+20水稳基层+6cm中粒式沥青混凝土</t>
  </si>
  <si>
    <t>20cm（冷再生下基层）+16cm水稳基层+6cm普通粗粒式沥青+4cm细粒式改性沥青</t>
  </si>
  <si>
    <t>崇义分中心</t>
  </si>
  <si>
    <t>纵横裂缝、网裂、露骨、局部沉陷等</t>
  </si>
  <si>
    <t>2019年赣州市崇义县G220线养护大中修工程、2022年赣州市G220路面预防性工程</t>
  </si>
  <si>
    <t>列入了“十四五”规划，今年开始实施一期，一期工期两年，二期具体实施时间待定。</t>
  </si>
  <si>
    <t>宝山-铅厂</t>
  </si>
  <si>
    <t>洪水寨路口-西峰</t>
  </si>
  <si>
    <t>2025年崇义县G220线路面预防养护工程</t>
  </si>
  <si>
    <t>石底河-宝山隧道</t>
  </si>
  <si>
    <r>
      <rPr>
        <sz val="10"/>
        <rFont val="宋体"/>
        <charset val="134"/>
      </rPr>
      <t>局部病害挖补处理+</t>
    </r>
    <r>
      <rPr>
        <sz val="10"/>
        <color rgb="FFFF0000"/>
        <rFont val="宋体"/>
        <charset val="134"/>
      </rPr>
      <t>4cm</t>
    </r>
    <r>
      <rPr>
        <sz val="10"/>
        <rFont val="宋体"/>
        <charset val="134"/>
      </rPr>
      <t>厚AC-13C改性沥青砼路面</t>
    </r>
  </si>
  <si>
    <t>宝山</t>
  </si>
  <si>
    <t>铅厂-葛坳</t>
  </si>
  <si>
    <t>西峰-义安</t>
  </si>
  <si>
    <t>整体路况较好，暂缓安排</t>
  </si>
  <si>
    <t>同分中心上报精准预防性桩号路段。</t>
  </si>
  <si>
    <t>全南县</t>
  </si>
  <si>
    <t>G535</t>
  </si>
  <si>
    <t>2025年赣州市全南县G535线路面预防养护工程</t>
  </si>
  <si>
    <t>樟木迳-汶坑</t>
  </si>
  <si>
    <t>4cm沥青上面层+6cm沥青下面层+30cm水稳层+旧沥青混凝土路面</t>
  </si>
  <si>
    <t>对沿线病害进行处置后，加铺3cm厚改性沥青混凝土上面层，恢复标线及彩色标线</t>
  </si>
  <si>
    <t>全南分中心</t>
  </si>
  <si>
    <t>沿线多处出现纵向、横向裂缝，露骨等病害</t>
  </si>
  <si>
    <t>G535全南树坳至汶坑路面改造工程项目、2020年G535预防性养护路面预防性养护工程</t>
  </si>
  <si>
    <t>信丰县</t>
  </si>
  <si>
    <t>2025年信丰县G105线路面预防养护工程</t>
  </si>
  <si>
    <t>长塘村-羊马</t>
  </si>
  <si>
    <t>4cm+5cm沥青混凝土路面+8cm厚沥青碎石上基层+20cm厚水泥稳定碎石下基层+23cm厚混凝土面板（多锤头碎石化）</t>
  </si>
  <si>
    <r>
      <rPr>
        <sz val="10"/>
        <rFont val="宋体"/>
        <charset val="134"/>
      </rPr>
      <t>拟采取铣刨</t>
    </r>
    <r>
      <rPr>
        <sz val="10"/>
        <color rgb="FFFF0000"/>
        <rFont val="宋体"/>
        <charset val="134"/>
      </rPr>
      <t>3cm</t>
    </r>
    <r>
      <rPr>
        <sz val="10"/>
        <rFont val="宋体"/>
        <charset val="134"/>
      </rPr>
      <t>（8m宽）旧沥青砼路上面层+厚4cm(12m宽)厚旧沥青砼路上面层，局部病害挖补处治</t>
    </r>
  </si>
  <si>
    <t>信丰分中心</t>
  </si>
  <si>
    <t>该路面整体属于轻微病害，集中在路段左幅，建议调整起点桩号为2212.321.</t>
  </si>
  <si>
    <t>2025年信丰县G105线修复养护路面大修工程</t>
  </si>
  <si>
    <t>1.铣刨老路面层和基层，重新铺筑16cm厚水泥稳定碎石下基层+16cm厚水泥稳定碎石上基层+6cmAC-20C中粒式沥青面层+4cm厚AC-13C细粒式改性沥青面层；
2.完善两侧排水沟；
3.不满足要求的路侧波形护栏进行重建。</t>
  </si>
  <si>
    <t>坑槽、裂缝、翻浆、冒浆、护栏等级不足、护栏损坏</t>
  </si>
  <si>
    <t>2019年预防性</t>
  </si>
  <si>
    <t>龙南市</t>
  </si>
  <si>
    <t>2025年龙南市G105线修复养护路面中修工程</t>
  </si>
  <si>
    <t>东坑</t>
  </si>
  <si>
    <t>（15+15）cm厚水稳碎石(上下）基层+5cm厚AC-20中粒式沥青砼下面层+4cm厚AC-13C细粒式沥青砼上面层+预防性处治加铺3cm厚AC-13C沥青面层</t>
  </si>
  <si>
    <t>铣刨厚12cm旧沥青路面结构层及局部挖补病害基层，重建6cm厚AC-20沥青砼下面层+4cm厚AC-13C沥青砼上面层。</t>
  </si>
  <si>
    <t>龙南分中心</t>
  </si>
  <si>
    <t>20cm厚水稳碎石下基层+8cm厚ATB-25沥青稳定碎石基层+6cm厚AC-20中粒式沥青砼下面层+4cm厚AC-13C细粒式沥青砼上面层+预防性处治加铺3cm厚AC-13C砼沥青面层</t>
  </si>
  <si>
    <t>铣刨厚13cm旧沥青路面结构层及局部挖补病害基层，重建6cm厚AC-20沥青砼下面层+4cm厚AC-13C沥青砼上面层。</t>
  </si>
  <si>
    <t>2024年9月23日核查。建议分中心根据现场情况，对路面状况差，优化到具体的桩号。桩号3-6.8建议入库安排。</t>
  </si>
  <si>
    <t>G323</t>
  </si>
  <si>
    <t>2025年瑞金市G323线路面预防养护工程</t>
  </si>
  <si>
    <t>大布</t>
  </si>
  <si>
    <t>23cm水泥砼面层破碎后+18cm水稳碎石基层+5cm厚AC-16中粒式沥青面层+5cm厚AC-13沥青面层+3cm厚AC-13C改性沥青砼路面</t>
  </si>
  <si>
    <r>
      <rPr>
        <sz val="10"/>
        <rFont val="宋体"/>
        <charset val="134"/>
      </rPr>
      <t>局部路面病害处治后</t>
    </r>
    <r>
      <rPr>
        <sz val="10"/>
        <color rgb="FFFF0000"/>
        <rFont val="宋体"/>
        <charset val="134"/>
      </rPr>
      <t>铣刨重铺3cm</t>
    </r>
    <r>
      <rPr>
        <sz val="10"/>
        <rFont val="宋体"/>
        <charset val="134"/>
      </rPr>
      <t>厚AC-13C细粒式改性沥青混凝土面层</t>
    </r>
  </si>
  <si>
    <t>93.88</t>
  </si>
  <si>
    <t>93.17</t>
  </si>
  <si>
    <t>纵、横向裂缝、网裂下沉</t>
  </si>
  <si>
    <t>2018年预防性</t>
  </si>
  <si>
    <t>超田</t>
  </si>
  <si>
    <t>沥青砼</t>
  </si>
  <si>
    <t>铣刨3cm沥青砼面层后对原沥青砼下面层进行局部挖补处治后重铺4cm厚AC-13C细粒式改性沥青混凝土面层</t>
  </si>
  <si>
    <t>93.8</t>
  </si>
  <si>
    <t>95.02</t>
  </si>
  <si>
    <t>乌猪过龙</t>
  </si>
  <si>
    <t>局部路面病害处治后加铺3cm厚AC-13C细粒式改性沥青混凝土面层</t>
  </si>
  <si>
    <t>94.14</t>
  </si>
  <si>
    <t>92.13</t>
  </si>
  <si>
    <t>小莲排</t>
  </si>
  <si>
    <t>铣刨3cm沥青碎石面层后对原沥青砼下面层进行局部挖补处治后重铺4cm厚AC-13C细粒式改性沥青混凝土面层</t>
  </si>
  <si>
    <t>云石山</t>
  </si>
  <si>
    <t>92.98</t>
  </si>
  <si>
    <t>88.87</t>
  </si>
  <si>
    <t>2020年预防性</t>
  </si>
  <si>
    <t>石门</t>
  </si>
  <si>
    <t>局部路面病害处治后加铺3cm厚AC-13C细粒式改性沥青混凝土</t>
  </si>
  <si>
    <t>92.82</t>
  </si>
  <si>
    <t>93.23</t>
  </si>
  <si>
    <t>黄安</t>
  </si>
  <si>
    <r>
      <rPr>
        <sz val="10"/>
        <rFont val="宋体"/>
        <charset val="134"/>
      </rPr>
      <t>铣刨3cm沥青碎石面层后对原沥青砼下面层进行局部挖补处治后重铺</t>
    </r>
    <r>
      <rPr>
        <sz val="10"/>
        <color rgb="FFFF0000"/>
        <rFont val="宋体"/>
        <charset val="134"/>
      </rPr>
      <t>4cm</t>
    </r>
    <r>
      <rPr>
        <sz val="10"/>
        <rFont val="宋体"/>
        <charset val="134"/>
      </rPr>
      <t>厚AC-13C细粒式改性沥青混凝土面层</t>
    </r>
  </si>
  <si>
    <t>91.82</t>
  </si>
  <si>
    <t>90.57</t>
  </si>
  <si>
    <t>会昌县</t>
  </si>
  <si>
    <t>2025年会昌县G323线路面预防养护工程</t>
  </si>
  <si>
    <t>会昌县西江镇</t>
  </si>
  <si>
    <t>3cm改性沥青砼+4cm细粒式沥青砼+6cm中粒式沥青砼</t>
  </si>
  <si>
    <t>铣刨原3cm沥青混凝土上面层，加铺4cmAC-13C沥青混凝土，对局部病害较严重路段采用挖除原有下基层及以上路面结构层，再重新铺筑新路面结构层，恢复路面标线。</t>
  </si>
  <si>
    <t>会昌分中心</t>
  </si>
  <si>
    <t>匹配部库</t>
  </si>
  <si>
    <t>会昌县小密乡</t>
  </si>
  <si>
    <t>路面反射裂缝，红绿灯处龟裂、坑槽、车辙病害，统筹安排</t>
  </si>
  <si>
    <t>S549</t>
  </si>
  <si>
    <t>2025年赣州市全南县S549线路面预防养护工程</t>
  </si>
  <si>
    <t>中切-杨坊</t>
  </si>
  <si>
    <t>4cm沥青面层+6cm沥青下面层+16cm 水泥稳定碎石上基层+16cm 水泥稳定碎石下基</t>
  </si>
  <si>
    <t>铣刨4㎝沥青面层后对沿线病害处置后，重铺4cm厚改性沥青砼上面层</t>
  </si>
  <si>
    <t>沿线多处出现纵向、横向裂缝，露骨，红绿灯前后路段龟裂，坑槽等病害</t>
  </si>
  <si>
    <t xml:space="preserve"> 
2020年赣州市全南县S549预防养护路面预防性养护工程</t>
  </si>
  <si>
    <t>局部挖补后直接加铺，建议入库</t>
  </si>
  <si>
    <t>寻乌县</t>
  </si>
  <si>
    <t>G236</t>
  </si>
  <si>
    <t>2025年寻乌县G236线路面预防养护工程</t>
  </si>
  <si>
    <t>岗背村-河角村</t>
  </si>
  <si>
    <t>4cm厚AC-13细粒式改性沥青砼+6cm厚AC-16中粒式沥青砼+厚16cm水泥稳定碎石底基层+厚16cm水泥稳定碎石上基层</t>
  </si>
  <si>
    <t>对局部病害进行处治后加铺3cm厚AC-13细粒式改性沥青砼，施划标线</t>
  </si>
  <si>
    <t>寻乌分中心</t>
  </si>
  <si>
    <t>露骨麻面、坑槽、横纵向裂缝裂缝</t>
  </si>
  <si>
    <t>宁都县</t>
  </si>
  <si>
    <t>2025年宁都县G236线路面预防养护工程</t>
  </si>
  <si>
    <t>肖田段</t>
  </si>
  <si>
    <t>15+15cm水泥稳定碎石基层+（6+4）cm沥青混凝土面层</t>
  </si>
  <si>
    <t>局部路面病害修复后加铺 4cm厚AC－13细粒式改性沥青面层</t>
  </si>
  <si>
    <t>宁都分中心</t>
  </si>
  <si>
    <t>2025年于都县G238线路面预防养护工程</t>
  </si>
  <si>
    <t>罗江乡前村村-黄坑村</t>
  </si>
  <si>
    <t>（4+6）cm沥青混凝土（20+20）cm水泥稳定基层</t>
  </si>
  <si>
    <t>铣刨行车道7米，铣刨4cm上面层+黏层+重铺4cm上面层</t>
  </si>
  <si>
    <t>匹配部库，不含三门大桥桥面</t>
  </si>
  <si>
    <t>上犹县</t>
  </si>
  <si>
    <t>2024年上犹县G220线路面预防养护工程</t>
  </si>
  <si>
    <t>苛树坳-高洞</t>
  </si>
  <si>
    <t>沥青路面</t>
  </si>
  <si>
    <t>4cmAC-13C 细粒式 SBS 改性沥青混凝土+6cmAC20C 中粒式沥青混凝土+36cm 水泥稳定碎石+20cm级配碎石</t>
  </si>
  <si>
    <t>铣刨4cm厚沥青砼路面后局部病害处治，铺筑4cm厚细粒式改性沥青砼路面</t>
  </si>
  <si>
    <t>上犹分中心</t>
  </si>
  <si>
    <t>高洞-左溪大桥</t>
  </si>
  <si>
    <t>2025年第一批路面养护工程备选项目</t>
  </si>
  <si>
    <t>现场核查实际为横向裂缝较多，初步判定为基层及以下结构破坏，建议按中修方案调整为7+5结构处置，上面层采用16级配处置较妥，实际以设计单位勘察后提出意见为准，同意此路段上中修。</t>
  </si>
  <si>
    <t>2025年信丰县G105线修复养护路面中修工程</t>
  </si>
  <si>
    <t>上行</t>
  </si>
  <si>
    <t>一级</t>
  </si>
  <si>
    <t>4cm细粒式改性沥青混凝土上面层(AC-13)+6cm中粒式沥青混凝土下面层(AC-16)+20cm水泥稳定碎石上基层+20cm水泥稳定碎石下基层+20cm级配碎石底基层</t>
  </si>
  <si>
    <t>1.铣刨老路面层，局部病害挖补处治，重新铺筑6cm厚中粒式沥青砼下面层+4cm厚细粒式改性沥青砼上面层；
2.完善两侧排水沟。</t>
  </si>
  <si>
    <t>裂缝、坑槽、沉陷、冒浆</t>
  </si>
  <si>
    <t>2015年升级改造</t>
  </si>
  <si>
    <t>下行</t>
  </si>
  <si>
    <t>本路段病害轻微，建议调整为预防性养护，局部路段进行挖补。</t>
  </si>
  <si>
    <t>建设性质调整为预防性。</t>
  </si>
  <si>
    <t>老圩村-牛角塘</t>
  </si>
  <si>
    <t>20c水泥稳定碎石下基层+8cmATB柔性基层+5cm沥青砼+4cm沥青砼+4cm沥青砼</t>
  </si>
  <si>
    <t>1.铣刨老路面层，局部病害挖补处治，重新铺筑5cm厚中粒式沥青砼下面层+4cm厚细粒式改性沥青砼上面层；
2.完善两侧排水沟。</t>
  </si>
  <si>
    <t>2025年龙南市G105线修复养护路面大修工程</t>
  </si>
  <si>
    <t>南亨</t>
  </si>
  <si>
    <t>厚（15+15）cm水泥稳碎石（上下）基层+6cm厚AC-20沥青砼下面层+4cm厚AC-13C沥青砼上面层</t>
  </si>
  <si>
    <t>铣刨厚10cm旧沥青路面结构层及厚30cm旧水泥稳定碎石基层后，重建（15+15）cm厚水泥稳定碎石（上下）基层及6cmAC-20沥青砼下面层+4cm沥青砼上面层。</t>
  </si>
  <si>
    <t>武当至广东省连平交界处</t>
  </si>
  <si>
    <t>厚（15+15）cm水泥稳碎石（上下）基层+6cm厚AC-20沥青砼下面层+4cm厚AC-13C沥青砼土上面层+预防性加铺厚3cm厚AC-13C沥青砼面层</t>
  </si>
  <si>
    <t>铣刨厚13cm旧沥青路面结构层及厚30cm旧水泥稳定碎石基层后，重建（15+15）cm厚水泥稳定碎石（上下）基层及6cm厚AC-20沥青砼下面层+4cm厚AC-13C沥青砼上面层。</t>
  </si>
  <si>
    <t>原沥青路面结构层松散，建议入库</t>
  </si>
  <si>
    <t>2025年寻乌县G236线修复养护路面中修工程</t>
  </si>
  <si>
    <t>黄沙村-虎石村</t>
  </si>
  <si>
    <t>6cm厚AC-16中粒式沥青砼+4cm厚AC-13细粒式改性沥青砼+厚16cm水泥稳定碎石底基层+厚16cm水泥稳定碎石上基层</t>
  </si>
  <si>
    <t>铣刨原有路面沥青砼7.475公里，对原有基层精准处治后6cm厚AC-16中粒式沥青砼+4cm厚AC-13细粒式改性沥青砼，拆除原有二波钢护栏后对钢护栏进行提升，施划标线。</t>
  </si>
  <si>
    <t>连续路面坑槽，横纵向裂缝裂缝</t>
  </si>
  <si>
    <t>2021年寻乌县G236线路面预防性养护工程，
赣市路养字
【2021】41号</t>
  </si>
  <si>
    <t>2024年9月26日核查。路面大面积坑槽，网裂，纵横向裂缝。建议入库安排。</t>
  </si>
  <si>
    <t>2025年宁都县G236线路面修复养护大修工程</t>
  </si>
  <si>
    <t>东山坝圩镇</t>
  </si>
  <si>
    <t>18/9</t>
  </si>
  <si>
    <t>正常路段铣刨后，铺筑 22cm厚水泥稳定碎石基层+8cmAC-25粗粒式沥青层+6cm厚AC-20C中粒式沥青下面层+4cm厚 AC-13C 细粒式改性沥青上面层。圩镇Y型平交口黑改白，铺筑26cm厚钢筋混凝土面层</t>
  </si>
  <si>
    <t>坑槽、横纵向裂缝</t>
  </si>
  <si>
    <t>大坪段</t>
  </si>
  <si>
    <t>15+16水泥稳定碎石基层+（6+4）cm沥青混凝土面层</t>
  </si>
  <si>
    <t>铣刨路面结构层至原老路混凝土面板，对原老路混凝土面板再次实施多锤头碎石化后，铺筑23cm厚水泥稳定碎石基层+8cm厚AC-25粗粒式沥青上基层+6cm厚AC-20C中粒式沥青下面层+4cm厚AC-13细粒式改性沥青上面层。</t>
  </si>
  <si>
    <t>2017年灾毁</t>
  </si>
  <si>
    <t>G206</t>
  </si>
  <si>
    <t>2025年会昌县206线修复养护路面大修工程</t>
  </si>
  <si>
    <t>会昌县麻州镇</t>
  </si>
  <si>
    <t>4cm细粒式沥青砼+6cm中粒式沥青砼+15cm水泥稳定基层+16cm水泥稳定基层</t>
  </si>
  <si>
    <t>1.铣刨4cm细粒式沥青砼+6cm中粒式沥青砼+15cm水泥稳定碎石基层+16cm水泥稳定碎石基层，再二次多锤头碎石化旧路面混凝土面板，加铺结构层23cm水泥稳定碎石基层、8cm厚AC-25ATB沥青碎石基层、6cm厚AC16中粒式沥青面层、4cm厚AC13细粒式改性沥青面层。2.完善两侧排水沟。3.完善钢护栏提升。</t>
  </si>
  <si>
    <t>坑槽、横向裂缝、网裂、露骨</t>
  </si>
  <si>
    <t>2017年预防性养护</t>
  </si>
  <si>
    <t>2024年9月23日核查。路面严重车辙、拥包、坑槽。建议入库安排。</t>
  </si>
  <si>
    <t>可试行灌入式沥青砼。</t>
  </si>
  <si>
    <t>2025年瑞金市G206线修复养护路面大修工程</t>
  </si>
  <si>
    <t>谢屋排</t>
  </si>
  <si>
    <t>（20+18）cm水泥稳定碎石基层+（7+5+4）cm 沥青砼面层</t>
  </si>
  <si>
    <t>铣刨34cm老路面至原水泥稳定碎石下基层后，重新铺筑15cm厚水泥稳定碎石基层+24cm厚钢筋混凝土面层。</t>
  </si>
  <si>
    <t>严重车辙、拥包、坑槽</t>
  </si>
  <si>
    <t>2016年升级改造</t>
  </si>
  <si>
    <t>2024年9月23日核查。路面车辙、坑槽、下沉。建议入库安排。</t>
  </si>
  <si>
    <t>2025年瑞金市G323线修复养护路面大修工程</t>
  </si>
  <si>
    <t>铣刨54cm至原水泥稳定碎石基层后，重新铺筑23cm厚水泥稳定碎石基层+28cm厚钢筋混凝土面层。</t>
  </si>
  <si>
    <t>路况实际为横向裂缝、纵向裂纹，坑槽修补等，建议此段上，新田桥桥面铺装一并纳入项目内。</t>
  </si>
  <si>
    <t>G357</t>
  </si>
  <si>
    <t>2025年信丰县G357线修复养护路面中修工程</t>
  </si>
  <si>
    <t>新田道班-新屋下</t>
  </si>
  <si>
    <t>4cm厚AC-13C细粒式改性沥青砼+热沥青粘层+6cm厚AC-20C中粒式沥青混凝土+18cm厚水稳碎石上基层+18cm厚水稳碎石下基层</t>
  </si>
  <si>
    <t>铣刨老路面层，局部病害挖补处治，重新铺筑6cm厚中粒式沥青砼下面层+4cm厚细粒式改性沥青砼上面层。</t>
  </si>
  <si>
    <t>2018年赣州市国省道养护大中修工程</t>
  </si>
  <si>
    <t>两侧车辆轮迹带存在纵向裂缝，路面未存在网裂等病害，建议安排中修</t>
  </si>
  <si>
    <t>同意入备选库。</t>
  </si>
  <si>
    <t>南康区</t>
  </si>
  <si>
    <t>2025年南康区G357线路面预防养护工程</t>
  </si>
  <si>
    <t>龙华工业园-田头</t>
  </si>
  <si>
    <t>15+15cm水稳基层+6cm厚ac-20中粒式沥青混凝土下面层+4cm厚ac-13细粒式改性沥青上面层+3cm厚沥青混凝土预防性磨耗层</t>
  </si>
  <si>
    <t>铣刨3cm重铺4cm厚上面层</t>
  </si>
  <si>
    <t>南康分中心</t>
  </si>
  <si>
    <t>纵横向裂缝、下沉、坑槽、麻面等</t>
  </si>
  <si>
    <t>2019年预防性养护</t>
  </si>
  <si>
    <t>南康</t>
  </si>
  <si>
    <t>新华-罗边</t>
  </si>
  <si>
    <t>铣刨重铺4cm厚上面层</t>
  </si>
  <si>
    <t>车辙严重，建议安排，中修，需完善路测排水</t>
  </si>
  <si>
    <t>S226</t>
  </si>
  <si>
    <t>2025年南康区S226线修复养护路面中修工程</t>
  </si>
  <si>
    <t>73.079（+5.87）</t>
  </si>
  <si>
    <t>73.079（+5.97）</t>
  </si>
  <si>
    <t>唐江高速路口</t>
  </si>
  <si>
    <t>18+18cm水泥稳定基层+8cmATP+6cm沥青中面层+4cm沥青上面层</t>
  </si>
  <si>
    <t>铣刨4cm厚上面层，及6cm厚中面层，重新摊铺6cm厚中面层及4cm厚上面层。恢复标线</t>
  </si>
  <si>
    <t>车辙、油包、露骨、下沉</t>
  </si>
  <si>
    <t>2018年升级改造</t>
  </si>
  <si>
    <t>不通过，2019年安排大修（29-31.5），大修6年</t>
  </si>
  <si>
    <t>局部连续坑槽、唧浆、网裂，建议入库。碰头会后建议分中核对好桩号来。</t>
  </si>
  <si>
    <t>S456</t>
  </si>
  <si>
    <t>2025年定南县S456线路面预防养护工程</t>
  </si>
  <si>
    <t>月子村</t>
  </si>
  <si>
    <t>移交前（2012年）：原18cm水稳基层+原5cm下面层+3cm上面层；
2019年预防性养护：加铺4cm罩面层</t>
  </si>
  <si>
    <t>路面病害局部挖补，加铺4cm厚改性沥青砼路面</t>
  </si>
  <si>
    <t>坑槽频发、纵向裂缝、沉陷</t>
  </si>
  <si>
    <t>2019年</t>
  </si>
  <si>
    <t>2025年定南县S456线修复养护路面大修工程</t>
  </si>
  <si>
    <t>月子-梅香</t>
  </si>
  <si>
    <t>全线铣刨30cm至原水泥路面，重铺18cm厚水泥稳定级配碎石基层+8cm厚ATB-25沥青柔性基层+4cm厚细粒式改性沥青砼上面层</t>
  </si>
  <si>
    <t>露骨，建议安排</t>
  </si>
  <si>
    <t>2025年于都县S219线路面预防养护工程</t>
  </si>
  <si>
    <t>长富村-大富村</t>
  </si>
  <si>
    <t>9cm沥青混凝土+30cm水泥稳定基层</t>
  </si>
  <si>
    <t>铣刨行车道内7.5m宽度旧沥青砼上面面，黏层+铺筑4cm厚AC-13C细粒式改性沥青砼路面</t>
  </si>
  <si>
    <t>440-441PQI:89.37
441-442PQI:91.93
442-443PQI:84.2</t>
  </si>
  <si>
    <t>440-441PCI:88.88
441-442PCI:91.69
442-443PCI:89.1</t>
  </si>
  <si>
    <t>440-441RQI:90.11
441-442RQI:92.29
442-443RQI:77</t>
  </si>
  <si>
    <t>纵、横裂缝，沥青条状修补多</t>
  </si>
  <si>
    <t>2025年赣州市普通国省道养护工程项目库桥梁养护工程项目清单</t>
  </si>
  <si>
    <t>桥梁基本情况</t>
  </si>
  <si>
    <t>估算建安费（万元）</t>
  </si>
  <si>
    <t>估算上级补助资金万元）</t>
  </si>
  <si>
    <t>建设性质</t>
  </si>
  <si>
    <t>改造类别</t>
  </si>
  <si>
    <t>主要建设内容</t>
  </si>
  <si>
    <t>路线编码</t>
  </si>
  <si>
    <t>路线等级</t>
  </si>
  <si>
    <t>县、市（区）</t>
  </si>
  <si>
    <t>行政区划代码</t>
  </si>
  <si>
    <t>桥梁编码</t>
  </si>
  <si>
    <t>桥梁   名称</t>
  </si>
  <si>
    <t>桥梁中心桩号</t>
  </si>
  <si>
    <t>桥长(m)</t>
  </si>
  <si>
    <t>桥宽(m)</t>
  </si>
  <si>
    <t>设计荷载等级</t>
  </si>
  <si>
    <t>上部结构形式</t>
  </si>
  <si>
    <t>建成  
年份</t>
  </si>
  <si>
    <t>最近 一次 改造 年份</t>
  </si>
  <si>
    <t>最近 一次 改造 性质</t>
  </si>
  <si>
    <t>最近一次评定年月</t>
  </si>
  <si>
    <t>技术状况等级</t>
  </si>
  <si>
    <t>主要病害位置</t>
  </si>
  <si>
    <t>主要病害或缺陷描述</t>
  </si>
  <si>
    <t>一、危旧桥改造工程4座</t>
  </si>
  <si>
    <t>于都</t>
  </si>
  <si>
    <t>G238360731L0100</t>
  </si>
  <si>
    <t>峡山桥</t>
  </si>
  <si>
    <t>汽-20</t>
  </si>
  <si>
    <t>整体现浇</t>
  </si>
  <si>
    <t>桥梁防护提升</t>
  </si>
  <si>
    <t>2024.6</t>
  </si>
  <si>
    <t>梁板、桥台</t>
  </si>
  <si>
    <t>梁板裂缝、桥台裂缝。</t>
  </si>
  <si>
    <t>危桥改造</t>
  </si>
  <si>
    <t>拆除重建</t>
  </si>
  <si>
    <t>拆除重建（全幅）</t>
  </si>
  <si>
    <t>G206360734L0060</t>
  </si>
  <si>
    <t>盘栋桥</t>
  </si>
  <si>
    <t>汽车-20级</t>
  </si>
  <si>
    <t>板拱</t>
  </si>
  <si>
    <t>维修加固</t>
  </si>
  <si>
    <t>2024.1</t>
  </si>
  <si>
    <t>主拱圈</t>
  </si>
  <si>
    <t>主拱圈灰缝松散脱落，拱上侧墙裂缝。</t>
  </si>
  <si>
    <t>旧桥改造</t>
  </si>
  <si>
    <t>S451</t>
  </si>
  <si>
    <t>S451360730L0030</t>
  </si>
  <si>
    <t>青塘一桥</t>
  </si>
  <si>
    <t>25.158</t>
  </si>
  <si>
    <t>54.00</t>
  </si>
  <si>
    <t>汽车-10 级</t>
  </si>
  <si>
    <t>钢筋混凝土</t>
  </si>
  <si>
    <t>上、下部结构病害</t>
  </si>
  <si>
    <t>主拱圈存在 3 处渗水。拱上侧墙存在 1 处拱上填料排水不畅。台身存在 1 处圬工砌块缺陷，面积 0.60m²。</t>
  </si>
  <si>
    <t>S450</t>
  </si>
  <si>
    <t>S450360732L0050</t>
  </si>
  <si>
    <t>井口一桥</t>
  </si>
  <si>
    <t>石砌板拱</t>
  </si>
  <si>
    <t>上部结构：拱圈</t>
  </si>
  <si>
    <t xml:space="preserve">  上部结构：主拱圈水泥砂浆层出现9条裂缝，总长8.25m，最大缝宽0.12mm；主拱圈存在1处局部有明显渗水现象；拱上侧墙存在1处侧墙局部开裂，长度 1.40m。</t>
  </si>
  <si>
    <t>二、桥梁维修加固工程3座</t>
  </si>
  <si>
    <t>S451360732L0010</t>
  </si>
  <si>
    <t>店山桥</t>
  </si>
  <si>
    <t>空心板</t>
  </si>
  <si>
    <t>桥面系：桥面铺装；上部结构：梁板；下部结构：台帽、台身。</t>
  </si>
  <si>
    <t>一、桥面系：第一跨桥面铺装桥面露骨且0#台处距左侧2.5m处破损；0#台伸缩缝距左侧1.95m处混凝土破损；1#台伸缩缝距左侧护栏1.48m处锚固区破损；左侧护栏混凝土破损露筋。二、上部结构：1#整体现浇板梁底距1#台5.15m，距左侧 5.37m处1条纵向裂缝，且伴有析白。三、下部结构：R-0#锥坡浆砌体破损开裂；0#台台帽距左侧3.5m处1条竖向裂缝；0#台台幅距左侧4.79m处1条竖向裂缝；0#台台帽距左侧6.55m处1条竖向裂缝；0#台台帽距左侧1.15m至1.55m范围内混凝土破损露筋；1#台台帽距左侧3.5m处1条竖向裂缝；1#台台身距左侧3.6m处1条竖向裂缝。</t>
  </si>
  <si>
    <t>S547</t>
  </si>
  <si>
    <t>S547360724L0040</t>
  </si>
  <si>
    <t>棉花土桥</t>
  </si>
  <si>
    <t>汽车-10级</t>
  </si>
  <si>
    <t>肋拱</t>
  </si>
  <si>
    <t>主拱圈、台身</t>
  </si>
  <si>
    <t>主拱圈距0#台3m，距1#台0m渗水，距0#台3.5m破损。0#台台身距右侧0m，距底部0m，破损。0#、1#台台身渗水。1#台左侧锥坡开裂。</t>
  </si>
  <si>
    <t>维修加固工程</t>
  </si>
  <si>
    <t>S547360724L0220</t>
  </si>
  <si>
    <t>黄竹头桥</t>
  </si>
  <si>
    <t>主拱圈距1#台0m，距0#台1m渗水。距0#台4m横向裂缝2条。距0#台4m网状裂缝。距1#台0m破损2处。0#台左侧锥坡坍塌。1#台台身渗水。</t>
  </si>
  <si>
    <t>三、桥梁修复养护工程16座</t>
  </si>
  <si>
    <t>S453360731L0120</t>
  </si>
  <si>
    <t>鸦鹊滩桥</t>
  </si>
  <si>
    <t>公路Ⅱ级</t>
  </si>
  <si>
    <t>小箱梁</t>
  </si>
  <si>
    <t>桥台、梁板、支座、桥面、伸缩缝</t>
  </si>
  <si>
    <t>桥台：裂缝。梁板：剥落掉角露筋。支座：老化开裂。桥面：磨光露骨。伸缩缝：止水带破损。</t>
  </si>
  <si>
    <t>修复养护工程</t>
  </si>
  <si>
    <t>修复养护</t>
  </si>
  <si>
    <t>会昌</t>
  </si>
  <si>
    <t>G206360733L0060</t>
  </si>
  <si>
    <t>罗田桥</t>
  </si>
  <si>
    <t>空心板梁</t>
  </si>
  <si>
    <t>2022.12</t>
  </si>
  <si>
    <t>盖梁、橡胶支座</t>
  </si>
  <si>
    <t>桥墩盖梁多处开裂、两侧挡块开裂严重，墩台基础外露。橡胶支座基本已老化、变形、开裂严重。</t>
  </si>
  <si>
    <t>G206360733L0220</t>
  </si>
  <si>
    <t>溪口桥</t>
  </si>
  <si>
    <t>护坡下沉</t>
  </si>
  <si>
    <t>4#护坡整体下沉严重；桥台两侧需完善排水沟；河床水位下降桩基础外露冲刷严重；需增设检测通道。</t>
  </si>
  <si>
    <t>G357360703L0020</t>
  </si>
  <si>
    <t>龙华大桥</t>
  </si>
  <si>
    <t>桥面、伸缩缝、人行道板、4-7#墩、支座、盖梁</t>
  </si>
  <si>
    <t>桥面多处裂缝；伸缩缝橡胶条止水带破损；人行道板部分破损露筋；4-7#墩露基缩径；部分支座老化破损；部分盖梁渗水、露筋、锈蚀、开裂。</t>
  </si>
  <si>
    <t>S547360724L0240</t>
  </si>
  <si>
    <t>高峰桥</t>
  </si>
  <si>
    <t>2021.11</t>
  </si>
  <si>
    <t>主拱圈距0#台1m，距1#台1.5m空洞。距0#台1m，距1#台2m渗水。</t>
  </si>
  <si>
    <t>S547360724L0170</t>
  </si>
  <si>
    <t>龙井凹桥</t>
  </si>
  <si>
    <t>距1#台1m，面积1m×2m，距0#台1.5m，面积1m×0.5m渗水。距1#台0.5m，面积0.3m×0.3m破损2处。台身距左侧1m，距顶部0.3m，面积0.5m×0.3m剥落。1#台护坡坍塌</t>
  </si>
  <si>
    <t>S547360724L0140</t>
  </si>
  <si>
    <t>高石寨桥</t>
  </si>
  <si>
    <t>主拱圈距0#台0.5m，剥落。距1#台3m，距1#台1m，距0#台0m渗水。0#台，1#台锥坡坍塌。</t>
  </si>
  <si>
    <t>G357360725L0170</t>
  </si>
  <si>
    <t>鱼梁桥</t>
  </si>
  <si>
    <t>644.215</t>
  </si>
  <si>
    <t>77.95</t>
  </si>
  <si>
    <t>11.50</t>
  </si>
  <si>
    <t>T梁</t>
  </si>
  <si>
    <t>1996</t>
  </si>
  <si>
    <t>2020</t>
  </si>
  <si>
    <t>桥面和支座等</t>
  </si>
  <si>
    <t>左幅混凝土桥面严重麻面露骨，坑槽，橡胶支座脱空、开裂、老化。</t>
  </si>
  <si>
    <t>S449</t>
  </si>
  <si>
    <t>S449360732L0060</t>
  </si>
  <si>
    <t>下围桥</t>
  </si>
  <si>
    <t>桥面系：桥面铺装；下部结构：桩基础</t>
  </si>
  <si>
    <t xml:space="preserve">  一、桥面系：桥面铺装露骨，裂缝；二、下部结构：桥梁桩基础，河床下降导致桩基础外露较多，其中3-1#立柱桩基迎水面侧钢筋外露锈蚀，H=3.00cm，周长L=3720mm。3-2#立柱桩基迎水面侧钢筋外露锈蚀，大桩号侧混凝土破损。</t>
  </si>
  <si>
    <t>G319360732L0080</t>
  </si>
  <si>
    <t>江背一桥</t>
  </si>
  <si>
    <t>桥面系：伸缩缝；下部结构：台帽、台身</t>
  </si>
  <si>
    <t xml:space="preserve">  一、桥面系：伸缩缝存在1处失效，存在1处锚固区缺陷。防撞墙存在1处破损，面积 0.20m²。二、下部结构台帽存在2处裂缝，长度0.70m，最大宽度0.25mm。台身存在 2 处裂缝，长度6.50m，最大宽度 0.33mm。</t>
  </si>
  <si>
    <t>G319360732L0270</t>
  </si>
  <si>
    <t>宜桂桥</t>
  </si>
  <si>
    <t>桥面系：伸缩缝；上部结构：空心板；下部结构：翼墙、台身</t>
  </si>
  <si>
    <t xml:space="preserve">  一、桥面系：桥面铺装存在1处裂缝，长度6.50m。1道伸缩缝存在5处锚固区缺陷，1处失效。二、上部结构：空心板存在2处剥落、掉角，面积0.03m²。三、下部结构：左侧翼墙存在1处砌体松动。台身存在2处台背排水状况，存在1处裂缝，长度1.80m，最大宽度0.06mm。</t>
  </si>
  <si>
    <t>G319360732L0180</t>
  </si>
  <si>
    <t>墩丘桥</t>
  </si>
  <si>
    <t xml:space="preserve">  一、桥面系：桥面铺装存在2处破损，面积0.14m²，存在5处裂缝，长度31.50m。伸缩缝橡胶条存在 1 处破损。二、上部结构：空心板存在2处剥落、掉角，面积 0.05m²。三、下部结构：盖梁存在1处钢筋锈蚀，面积0.02m²。台身存在4处裂缝，长度9.10m，最大宽度0.28mm。台帽存在1处裂缝，长度0.25m，最大宽度0.25mm。</t>
  </si>
  <si>
    <t>G319360732L0240</t>
  </si>
  <si>
    <t>象形桥</t>
  </si>
  <si>
    <t>桥面系：搭板、伸缩缝；上部结构：空心板；下部结构：台身</t>
  </si>
  <si>
    <t xml:space="preserve">  一、桥面系:桥头搭板存在2处裂缝，长度7.50m。2道伸缩缝橡胶条均破损，1道伸缩缝堵塞导致失效，1道伸缩缝混凝土锚固区存在开裂。二、上部结构:空心板存在3处剥落、掉角，面积0.45m²。三、下部结构:锥坡存在1处坡脚破损。台身存在3处竖向裂缝，长7.00m，最大宽度 0.25mm；台身存在1处水平裂缝，长度1.1m，宽度 0.25mm。</t>
  </si>
  <si>
    <t>G319360732L0110</t>
  </si>
  <si>
    <t>大路勘下二桥</t>
  </si>
  <si>
    <t>桥面系：搭板、伸缩缝；上部结构：空心板；下部结构：翼墙、台身</t>
  </si>
  <si>
    <t xml:space="preserve">  一、桥面系：桥面铺装存在1处坑洞，面积0.90m²。1道伸缩缝存在1处失效，1处橡胶条破损。二、上部结构：空心板存在1处剥落、掉角，面积0.18m²。三、下部结构：3个翼墙存在外倾现象。台身存在2处裂缝，长度4.70m，最大宽度0.16mm。</t>
  </si>
  <si>
    <t>G319360732L0260</t>
  </si>
  <si>
    <t>新勘下一桥</t>
  </si>
  <si>
    <t xml:space="preserve">  一、桥面系：桥面铺装存在1处剥落，面积0.38m²，存在1处破损，面积1.00m²。1道伸缩缝存在橡胶条破损；1道伸缩缝存在失效。二、上部结构：空心板存在1处剥落、掉角，面积0.01m²。三、下部结构（1）左侧翼墙存在1处外倾现象。台帽存在1处裂缝，长度0.20m。台身存在3处裂缝，长度5.70m，最大宽度0.18mm。</t>
  </si>
  <si>
    <t>G356360735L0011</t>
  </si>
  <si>
    <t>琴江大桥</t>
  </si>
  <si>
    <t>公路Ⅰ级</t>
  </si>
  <si>
    <t>箱梁</t>
  </si>
  <si>
    <t>沥青砼桥面露骨、脱皮、磨光严重、橡胶支座脱空、开裂、伸缩缝橡胶条止水带破损。</t>
  </si>
  <si>
    <t>2025年赣州市普通国省道养护工程项目库隧道养护工程项目清单</t>
  </si>
  <si>
    <t>隧道代码</t>
  </si>
  <si>
    <t>隧道名称</t>
  </si>
  <si>
    <t>入口桩号</t>
  </si>
  <si>
    <t>路段类型</t>
  </si>
  <si>
    <t>隧道分类</t>
  </si>
  <si>
    <t>隧道养护等级</t>
  </si>
  <si>
    <t>隧道长度(m)</t>
  </si>
  <si>
    <t>隧道全宽(m)</t>
  </si>
  <si>
    <t>隧道净宽(m)</t>
  </si>
  <si>
    <t>隧道净高(m)</t>
  </si>
  <si>
    <t>S456
小江﹣历市</t>
  </si>
  <si>
    <t>S456360728U0010</t>
  </si>
  <si>
    <t>神仙岭隧道</t>
  </si>
  <si>
    <t>短隧道</t>
  </si>
  <si>
    <t>养护修复</t>
  </si>
  <si>
    <t>衬砌</t>
  </si>
  <si>
    <t>衬砌渗水，盖板水沟破损</t>
  </si>
  <si>
    <t>隧道修复养护</t>
  </si>
  <si>
    <t>隧道维修</t>
  </si>
  <si>
    <t>修复渗水点及盖板水沟</t>
  </si>
  <si>
    <t>G357
东山-泸水</t>
  </si>
  <si>
    <t>G357360725U0010</t>
  </si>
  <si>
    <t>旗岭隧道</t>
  </si>
  <si>
    <t>水泥砼路面</t>
  </si>
  <si>
    <t>2025年赣州市普通国省道养护工程项目库公路安全提升工程项目清单</t>
  </si>
  <si>
    <t>处置里程（公里）</t>
  </si>
  <si>
    <t>估算建安费投资（万元）</t>
  </si>
  <si>
    <t>测算补助</t>
  </si>
  <si>
    <t>路线编号</t>
  </si>
  <si>
    <t>起止地名</t>
  </si>
  <si>
    <t>止点地名</t>
  </si>
  <si>
    <t>止点桩号</t>
  </si>
  <si>
    <t>新圩子</t>
  </si>
  <si>
    <t>南京坑村</t>
  </si>
  <si>
    <t>安全设施精细化提升</t>
  </si>
  <si>
    <t>1.局部临水临崖路段增设钢护栏，增设防撞墙；2.对横梁中心高度低于10cm且临水临崖路段的钢护栏增加套筒至规范高度。</t>
  </si>
  <si>
    <t>会后上报</t>
  </si>
  <si>
    <t>金鸡桥</t>
  </si>
  <si>
    <t>江背村</t>
  </si>
  <si>
    <t>隘前</t>
  </si>
  <si>
    <t>水沟</t>
  </si>
  <si>
    <t>1.局部临水临崖路段增设钢护栏，增设防撞墙；2.对横梁中心高度低于10cm且临水临崖路段的钢护栏增加套筒至规范高度；3.现有二波护栏且危险路段更换至三波护栏。</t>
  </si>
  <si>
    <t>水沟村</t>
  </si>
  <si>
    <t>墩丘村</t>
  </si>
  <si>
    <t>大路勘下</t>
  </si>
  <si>
    <t>1.局部临水临崖路段增设钢护栏，增设防撞墙；2.完善标志标牌，示警桩、轮廓标、爆闪灯；3.更新补划标线和震荡减速标线；4.对横梁中心高度低于10cm且临水临崖路段的钢护栏增加套筒至规范高度。</t>
  </si>
  <si>
    <t>机坑</t>
  </si>
  <si>
    <t>垇背</t>
  </si>
  <si>
    <t>1.局部临水临崖路段增设钢护栏；2.完善标志标牌、示警桩、爆闪灯；3.对桩号范围内路口交安设施进行优化。</t>
  </si>
  <si>
    <t>虎照</t>
  </si>
  <si>
    <t>元坑</t>
  </si>
  <si>
    <t>其他路段安全提升</t>
  </si>
  <si>
    <t>学校路段、平交路口、弯道诱导标志、弯道路段施划纵向减速标线更换老旧标志标牌、振荡标线；波形护栏提升等</t>
  </si>
  <si>
    <t>青松</t>
  </si>
  <si>
    <t>罗田</t>
  </si>
  <si>
    <t>连续弯道路段清除弯道内侧行道树及植被，重建下边坡植草皮；波形护栏提升；增加道路行车视距；新增路面降速标线、完善支路口标线标志牌等</t>
  </si>
  <si>
    <t>松山</t>
  </si>
  <si>
    <t>河子背</t>
  </si>
  <si>
    <t>急弯陡坡路段增加纵向减速标线，重新施划磨损普通标线，更换老旧标志牌及道口柱等</t>
  </si>
  <si>
    <t>清水</t>
  </si>
  <si>
    <t>东排上</t>
  </si>
  <si>
    <t>穿城过镇、学校路段施划纵向减速标线及更换老旧损坏标志牌、爆闪灯及道口柱等</t>
  </si>
  <si>
    <t>石阔</t>
  </si>
  <si>
    <t>安富</t>
  </si>
  <si>
    <t>穿城镇路段提升</t>
  </si>
  <si>
    <t>平交路口密集、居民区及学校路段普通标线重新施划，增加纵向减速标线，更换老旧标牌及道口柱等</t>
  </si>
  <si>
    <t>武阳围</t>
  </si>
  <si>
    <t>中赖</t>
  </si>
  <si>
    <t>平交路口、居民区增加行车视距；增加下坡、弯道路段降速标线；更换老旧标志标牌；波形护栏提升等</t>
  </si>
  <si>
    <t>乐村</t>
  </si>
  <si>
    <t>平交路口、居民区、学校路段增加行车视距；增加下坡、弯道路段降速标线；更换老旧标志标牌；</t>
  </si>
  <si>
    <t>波形护栏提升</t>
  </si>
  <si>
    <t>路面养护备选项目桩号覆盖，可视情况纳入路面项目实施</t>
  </si>
  <si>
    <t>下村</t>
  </si>
  <si>
    <t>急弯陡坡路段增加纵向减速标线，重新施划磨损普通标线，更换老旧标志牌及道口柱；二波护栏更换成三波等</t>
  </si>
  <si>
    <t>梅岗</t>
  </si>
  <si>
    <t>田心</t>
  </si>
  <si>
    <t>穿城过镇、学校路段施划纵向减速标线及补划已磨损普通标线，更换老旧标牌及道口柱等</t>
  </si>
  <si>
    <t>坝子</t>
  </si>
  <si>
    <t>窑前</t>
  </si>
  <si>
    <t>二波护栏更换成三波；波形护栏提升等</t>
  </si>
  <si>
    <t>二波护栏更换成三波</t>
  </si>
  <si>
    <t>黄沙</t>
  </si>
  <si>
    <t>连续弯道及国道干线与县道平交路口路段，施划纵向减速标线；连续弯道路段更换老旧弯道诱导标志牌</t>
  </si>
  <si>
    <t>石下垅</t>
  </si>
  <si>
    <t>连续弯道下坡路段，施划纵向减速标线，平交口路段施划震荡标线；波形护栏提升</t>
  </si>
  <si>
    <t>仰山</t>
  </si>
  <si>
    <t>平交口路段施划震荡标线，波形护栏提升</t>
  </si>
  <si>
    <t>马山</t>
  </si>
  <si>
    <t>穿城过镇、学校路段施划纵向减速标线及补划已磨损普通标线，更换老旧标牌及道口柱，波形护栏提升等</t>
  </si>
  <si>
    <t>福水</t>
  </si>
  <si>
    <t>桥头两端、村庄平交路口路段，施划纵向减速标线，波形护栏提升等</t>
  </si>
  <si>
    <t>象湖</t>
  </si>
  <si>
    <t>穿城过镇路段施划纵向减速标线</t>
  </si>
  <si>
    <t>罗坳峡山</t>
  </si>
  <si>
    <t>穿圩镇路段提升</t>
  </si>
  <si>
    <t>设置人车分流护栏，标志标牌、爆闪灯、纵向减速线等，局部路面扩宽，迁移军用光缆</t>
  </si>
  <si>
    <t>与2024年项目桩号重合，2024年实施。</t>
  </si>
  <si>
    <t>罗屋</t>
  </si>
  <si>
    <t>设置人车分流护栏，标志标牌、爆闪灯、纵向减速线等</t>
  </si>
  <si>
    <t>油槽下</t>
  </si>
  <si>
    <t>设置市政护栏，爆闪灯、标志标牌、纵向减速线等</t>
  </si>
  <si>
    <t>桥口</t>
  </si>
  <si>
    <t>伏潭埠</t>
  </si>
  <si>
    <t>平面交叉路口完善</t>
  </si>
  <si>
    <t>8处平交路口标志牌、爆闪灯、标线、警示桩等安防设施完善，安装老旧缺损波型护栏，重新施划沿线磨损标线，更换老旧标牌等</t>
  </si>
  <si>
    <t>贤女村出口</t>
  </si>
  <si>
    <t>7处平交路口标志牌、爆闪灯、标线、警示桩等安防设施完善，重新施划沿线磨损标线，更换老旧标牌等</t>
  </si>
  <si>
    <t>浮石村</t>
  </si>
  <si>
    <t>5处平交路口标志牌、爆闪灯、标线、警示桩等安防设施完善，安装老旧缺损波型护栏，重新施划沿线磨损标线，更换老旧标牌等</t>
  </si>
  <si>
    <t>青云村</t>
  </si>
  <si>
    <t>其它路段安全提升</t>
  </si>
  <si>
    <t>大余交界</t>
  </si>
  <si>
    <t>9处平交路口标志牌、爆闪灯、标线、警示桩等安防设施完善，安装老旧缺损波型护栏，重新施划沿线磨损标线，更换老旧标牌等</t>
  </si>
  <si>
    <t>五马</t>
  </si>
  <si>
    <t>茶叶坳</t>
  </si>
  <si>
    <t>11处平交路口标志牌、爆闪灯、标线、警示桩等安防设施完善，安装老旧缺损波型护栏，重新施划沿线磨损标线等</t>
  </si>
  <si>
    <t>三益</t>
  </si>
  <si>
    <t>21处平交路口标志牌、爆闪灯、标线、警示桩等安防设施完善，安装老旧缺损波型护栏，重新施划沿线磨损标线等</t>
  </si>
  <si>
    <t>龙回镇</t>
  </si>
  <si>
    <t>14处平交路口标志牌、爆闪灯、标线、警示桩等安防设施完善，重新施划沿线磨损标线等</t>
  </si>
  <si>
    <t>半岭</t>
  </si>
  <si>
    <t>穿乡过镇安防设施完善，路基缺口路段护栏处置等</t>
  </si>
  <si>
    <t>龙东</t>
  </si>
  <si>
    <r>
      <rPr>
        <sz val="10"/>
        <rFont val="宋体"/>
        <charset val="134"/>
      </rPr>
      <t>13处平交路口标志牌、爆闪灯、标线、警示桩等安防设施完善，</t>
    </r>
    <r>
      <rPr>
        <sz val="10"/>
        <color rgb="FFFF0000"/>
        <rFont val="宋体"/>
        <charset val="134"/>
      </rPr>
      <t>安装老旧缺损波型护栏</t>
    </r>
    <r>
      <rPr>
        <sz val="10"/>
        <rFont val="宋体"/>
        <charset val="134"/>
      </rPr>
      <t>，重新施划沿线磨损标线等</t>
    </r>
  </si>
  <si>
    <t>横水镇磨刀坑</t>
  </si>
  <si>
    <t>横水镇三坑村</t>
  </si>
  <si>
    <t>路段安全提升</t>
  </si>
  <si>
    <t>拆除原有二波钢护栏再新建三波钢护栏</t>
  </si>
  <si>
    <t>横水镇茶滩村</t>
  </si>
  <si>
    <t>横水镇朱坑口</t>
  </si>
  <si>
    <t>横水镇麻土</t>
  </si>
  <si>
    <t>横水镇鱼梁</t>
  </si>
  <si>
    <t>横水镇碧坑</t>
  </si>
  <si>
    <t>横水镇</t>
  </si>
  <si>
    <t>横水镇合江口</t>
  </si>
  <si>
    <t>关田镇龙头</t>
  </si>
  <si>
    <t>平交路口整治</t>
  </si>
  <si>
    <t>修建村</t>
  </si>
  <si>
    <t>修建桥桥梁护栏加高、拆除中间砖砌分隔墙。</t>
  </si>
  <si>
    <t>玉石村</t>
  </si>
  <si>
    <t>钢护栏防护能力提升，二波改三波</t>
  </si>
  <si>
    <t>含水村</t>
  </si>
  <si>
    <t>枧下村</t>
  </si>
  <si>
    <t>杨眉村</t>
  </si>
  <si>
    <t>杨梅村</t>
  </si>
  <si>
    <t>迳脑村</t>
  </si>
  <si>
    <t>大坝村</t>
  </si>
  <si>
    <t>S317</t>
  </si>
  <si>
    <t>太阳关</t>
  </si>
  <si>
    <t>官铺村</t>
  </si>
  <si>
    <t>沙含村</t>
  </si>
  <si>
    <t>濂丰村</t>
  </si>
  <si>
    <t>教头村</t>
  </si>
  <si>
    <t>上角</t>
  </si>
  <si>
    <t>金龙镇</t>
  </si>
  <si>
    <t>二波钢护栏提升三波钢护栏</t>
  </si>
  <si>
    <t>南迳镇</t>
  </si>
  <si>
    <t>临塘</t>
  </si>
  <si>
    <t>连续长陡下坡弯道路段安全提升</t>
  </si>
  <si>
    <r>
      <rPr>
        <sz val="10"/>
        <rFont val="宋体"/>
        <charset val="134"/>
      </rPr>
      <t>2277.360平交口改造2277.700平交口改造，增设标志牌24块，增设道口标注16根，施划标线300m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，</t>
    </r>
  </si>
  <si>
    <r>
      <rPr>
        <sz val="10"/>
        <rFont val="宋体"/>
        <charset val="134"/>
      </rPr>
      <t>增设标志牌14块，增设道口标注12根，施划标线260m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，</t>
    </r>
  </si>
  <si>
    <t>武当</t>
  </si>
  <si>
    <r>
      <rPr>
        <sz val="10"/>
        <rFont val="宋体"/>
        <charset val="134"/>
      </rPr>
      <t>二波钢护栏提升312米，增设标志牌12块，道口标注12根,施划标线200m</t>
    </r>
    <r>
      <rPr>
        <vertAlign val="superscript"/>
        <sz val="10"/>
        <rFont val="宋体"/>
        <charset val="134"/>
      </rPr>
      <t>2</t>
    </r>
  </si>
  <si>
    <t>武当驿站安全提升工程量纳入</t>
  </si>
  <si>
    <t>增设三波钢护栏200米，二波钢护栏提升148米，增设标志牌4块，道口标注12根</t>
  </si>
  <si>
    <r>
      <rPr>
        <sz val="10"/>
        <rFont val="宋体"/>
        <charset val="134"/>
      </rPr>
      <t>增设三波钢护栏48米，二波钢护栏提升112米，增设标志牌3块，道口标注12根，施划标线200m</t>
    </r>
    <r>
      <rPr>
        <vertAlign val="superscript"/>
        <sz val="10"/>
        <rFont val="宋体"/>
        <charset val="134"/>
      </rPr>
      <t>2</t>
    </r>
  </si>
  <si>
    <t>增设标志牌13块，增设道口标注12根</t>
  </si>
  <si>
    <t>增设三波钢护栏200米，二波钢护栏提升92米，增设道口标注12根</t>
  </si>
  <si>
    <t>增设三波护栏148米，标志牌11块，道口标注20根</t>
  </si>
  <si>
    <t>增设三波钢护栏200米，二波钢护栏提升542米，2248.300平交路口改造，标志牌14块，增设道口标注12根</t>
  </si>
  <si>
    <t>增设三波钢护栏80米，二波钢护栏提升236米，2248.300平交路口改造，标志牌22块，增设道口标注8根</t>
  </si>
  <si>
    <t>二波钢护栏提升236米，2252.950平交路口改造，标志牌16块，增设道口标注32根</t>
  </si>
  <si>
    <t>填表说明:</t>
  </si>
  <si>
    <t>1.路线编号：与2023年度公路养护统计年报一致。</t>
  </si>
  <si>
    <t>2.桩号格式：按照数字型填写，以公里为单位，保留三位小数，如：K100+123填写为100.123。</t>
  </si>
  <si>
    <t>3.建设性质：按穿城镇路段提升、平面交叉路口完善、连续长陡下坡路段安全提升、公铁并行交汇路段设施完善、其它路段安全提升填写。</t>
  </si>
  <si>
    <t>4.处治里程：起止点桩号范围内需采取安全处治措施的路段总长度。</t>
  </si>
  <si>
    <t>5.主要建设内容：按照建设性质相应填写主要建设内容，包括调整归并开口、增设护栏、优化标志牌、平交口改造以及公铁并行路段、铁跨公立交桥、铁路道口设施完善等。</t>
  </si>
  <si>
    <t>2025年赣州市普通国省道养护工程项目库公路灾害防治工程项目清单</t>
  </si>
  <si>
    <t>起点地名</t>
  </si>
  <si>
    <t>项目中包含的风险点ID</t>
  </si>
  <si>
    <t>项目中包含的风险点等级</t>
  </si>
  <si>
    <t>处治灾害类型</t>
  </si>
  <si>
    <t>处治长度(公里)</t>
  </si>
  <si>
    <t>估算总投资
（万元）</t>
  </si>
  <si>
    <t>按里程测算补助</t>
  </si>
  <si>
    <t>按建安费测算补助</t>
  </si>
  <si>
    <t xml:space="preserve">现场核查情况
</t>
  </si>
  <si>
    <t>遥溪观</t>
  </si>
  <si>
    <t>防治结合</t>
  </si>
  <si>
    <t>1278378084038344704</t>
  </si>
  <si>
    <t>四级</t>
  </si>
  <si>
    <t>沉陷塌陷</t>
  </si>
  <si>
    <t>新建路肩混凝土挡墙</t>
  </si>
  <si>
    <t>雨水冲刷下边坡水毁。</t>
  </si>
  <si>
    <t>湖江村</t>
  </si>
  <si>
    <t>1220699676592832513</t>
  </si>
  <si>
    <t>水毁</t>
  </si>
  <si>
    <t>修建盖板涵引导水流</t>
  </si>
  <si>
    <t>路侧无边沟、雨季雨水进入民房。</t>
  </si>
  <si>
    <t>S457</t>
  </si>
  <si>
    <t>岸口村</t>
  </si>
  <si>
    <t>1278397156620763136</t>
  </si>
  <si>
    <t>路基掏空</t>
  </si>
  <si>
    <t>1278400364978110464</t>
  </si>
  <si>
    <t>1278406640915185664</t>
  </si>
  <si>
    <t>S217</t>
  </si>
  <si>
    <t>富城乡</t>
  </si>
  <si>
    <t>879759432731328512</t>
  </si>
  <si>
    <t>三级（一般）</t>
  </si>
  <si>
    <t>滑坡</t>
  </si>
  <si>
    <t>1.坡面修整、增设C20护脚墙。2.边坡植草。3.增设水沟</t>
  </si>
  <si>
    <t>下边坡冲刷严重</t>
  </si>
  <si>
    <t>竹村村</t>
  </si>
  <si>
    <t>875753546895589376</t>
  </si>
  <si>
    <t>1.坡面卸载、增设C20砼挡土墙。2.边坡植草.3.增设水沟</t>
  </si>
  <si>
    <t>上边坡塌方。</t>
  </si>
  <si>
    <t>龙布牛角湾</t>
  </si>
  <si>
    <t>1240370161865719809</t>
  </si>
  <si>
    <t>四级（低）</t>
  </si>
  <si>
    <t xml:space="preserve">（1）清理边坡塌方并切削破滑移开裂坡脚岩体，清理滑坡顶危陡边坡，增设截水沟、平台沟、急流槽；并挂网喷播基材防护； 
（2）设置路堑护脚挡土墙； 
（3）增设路堑边沟。 </t>
  </si>
  <si>
    <t>上边坡塌方严重</t>
  </si>
  <si>
    <t>城厢镇</t>
  </si>
  <si>
    <t>防护为主</t>
  </si>
  <si>
    <t>增设C20混凝土挡土墙（5m高，20m长），修复涵洞洞口</t>
  </si>
  <si>
    <t>下边坡冲刷严重。</t>
  </si>
  <si>
    <t>三益村</t>
  </si>
  <si>
    <t>下山桥</t>
  </si>
  <si>
    <t>1277679071727190016</t>
  </si>
  <si>
    <t>二级（较大）</t>
  </si>
  <si>
    <t>崩塌</t>
  </si>
  <si>
    <t>边坡挖石方15444m³                             挂网喷混生植物:6583㎡                        平台沟：153.6m³</t>
  </si>
  <si>
    <t>边坡较高，存在安全隐患</t>
  </si>
  <si>
    <t>1248206081272840192</t>
  </si>
  <si>
    <t>清理落石：4097m³
挂主动防护网：4550㎡
浆砌片石水沟修复：40m³</t>
  </si>
  <si>
    <t>S221</t>
  </si>
  <si>
    <t>麻双村</t>
  </si>
  <si>
    <t>873890791058046976</t>
  </si>
  <si>
    <t>挂主动防护网：4477.68㎡
清理松散石方：2686.6m³
浆砌片石水沟：184m³
开挖水沟：276m³</t>
  </si>
  <si>
    <t>落石</t>
  </si>
  <si>
    <t>兴国县崇贤乡</t>
  </si>
  <si>
    <t>1245685735231586305</t>
  </si>
  <si>
    <t>设置砼护面墙、急流槽</t>
  </si>
  <si>
    <t>9.24核查，上边坡塌方。上报的估算总投资小于建安费，分中心重新估算，估算总投资60万，估算建安费50万。</t>
  </si>
  <si>
    <t>S314</t>
  </si>
  <si>
    <t>观音背1</t>
  </si>
  <si>
    <t>873297946156728320</t>
  </si>
  <si>
    <t>边坡卸载,新建砼挡土墙120米,增设主动防护网</t>
  </si>
  <si>
    <t>窑下村出口</t>
  </si>
  <si>
    <t>070S547360724BT0</t>
  </si>
  <si>
    <t>偶然落石</t>
  </si>
  <si>
    <t>主动防护网815m2</t>
  </si>
  <si>
    <t>对接后上报</t>
  </si>
  <si>
    <t>1253010965948006400</t>
  </si>
  <si>
    <t>清除滑坡土石+ C 型挂网喷播基材
护坡+排水设施</t>
  </si>
  <si>
    <t>871813908694827008</t>
  </si>
  <si>
    <t>清除滑坡土石+ C 型挂网喷播基材
护坡+排水设施+路堑墙</t>
  </si>
  <si>
    <t>1253019701336866816</t>
  </si>
  <si>
    <t>清除松散土石方后采用护面墙进行护坡，局部崩塌较深的形成空洞位置用浆砌片石回填</t>
  </si>
  <si>
    <t>1253025127273070592</t>
  </si>
  <si>
    <t>削坡卸载后坡面采用挂网植草防护</t>
  </si>
  <si>
    <t>1253028045204226048</t>
  </si>
  <si>
    <t>降缓坡率，恢复原挂网植草防护及边沟，底部长约30米坍塌严重处设置H=4高（含基础)路堑墙</t>
  </si>
  <si>
    <t>1253032697106792448</t>
  </si>
  <si>
    <t>卸载后坡面采用挂网植草防护，增设道路边沟，底部设置H=4高（含基础）路堑墙</t>
  </si>
  <si>
    <t>1253050808719638528</t>
  </si>
  <si>
    <t>重新浇筑H=6.5m高C20砼挡墙，墙背50cm范围回填砂砾，施工缝及沉降应设置在地基承载力不同的交界处</t>
  </si>
  <si>
    <t>1243216880257204225</t>
  </si>
  <si>
    <t>将病害挡墙全部拆除，新建C20砼挡墙，新建衡重式路肩挡土墙，墙背回填透水性材料，挡墙设置泄水孔</t>
  </si>
  <si>
    <t>871789199139799040</t>
  </si>
  <si>
    <t>对目前可见坍塌口之外较缓的位置开始进行分级刷坡卸载，刷坡时应将坍塌的松土全部清除，同时尽可能至稳定完好的坡面处，坡脚设置H=5-H=6（含基础埋置深度）渐变路堑挡土墙护坡，开挖坡面从二级边坡起采用锚杆框格梁植草防护，距坡顶一至二级边坡改采用挂网植草防护，完善相应排水设施</t>
  </si>
  <si>
    <t>2025年赣州市普通国省道养护工程项目库灾毁恢复重建工程项目清单</t>
  </si>
  <si>
    <t>灾毁情况</t>
  </si>
  <si>
    <t>K1952+450</t>
  </si>
  <si>
    <t>K1952+550</t>
  </si>
  <si>
    <t>边坡塌方</t>
  </si>
  <si>
    <t>降雨导致路侧边坡塌方，边坡清理后更为陡峭</t>
  </si>
  <si>
    <t>新建护面墙、截水沟</t>
  </si>
  <si>
    <t>K1954+750</t>
  </si>
  <si>
    <t>K1954+800</t>
  </si>
  <si>
    <t>降雨导致右侧塌方，塌方土体冲击损坏路侧水沟，路侧上方为湖陂村老表农田，分中心清理塌方后，该处边坡更为陡峭，受降雨影响时有土体滑落</t>
  </si>
  <si>
    <t>新建护面墙、截水沟，修复路侧水沟</t>
  </si>
  <si>
    <t>K1991+120</t>
  </si>
  <si>
    <t>K1991+320</t>
  </si>
  <si>
    <t>过水路面</t>
  </si>
  <si>
    <t>路面排水不畅，强降水天气，雨水淹漫路面，影响车辆通行，存在隐患；7月3日收到12345投诉工单</t>
  </si>
  <si>
    <t>重建排水沟，引流至路侧排放</t>
  </si>
  <si>
    <t>K2000+650</t>
  </si>
  <si>
    <t>K2000+750</t>
  </si>
  <si>
    <t>强降水天气，排水沟出水口离该路段较远，雨水无法及时排放，淹漫至路面，影响车辆通行，存在隐患</t>
  </si>
  <si>
    <t>新建排水沟，引导水流就近集中排放</t>
  </si>
  <si>
    <t>K793+750</t>
  </si>
  <si>
    <t>K793+940</t>
  </si>
  <si>
    <t>左侧路侧多水坑，为过往大型车辆出入元坑饭店吃饭休息的进出口，无水沟，过水路面导致路面频繁出现病害</t>
  </si>
  <si>
    <t>新建混凝土排水沟，车辆进出口处排水沟设置盖板</t>
  </si>
  <si>
    <t>K796+945</t>
  </si>
  <si>
    <t>K796+963</t>
  </si>
  <si>
    <t>桥下冲刷</t>
  </si>
  <si>
    <t>大柏地三桥无导流墙，桥下受冲刷，锥坡基础冲刷</t>
  </si>
  <si>
    <t>大柏地三桥修复锥坡，新建导流墙等</t>
  </si>
  <si>
    <t>K806+573</t>
  </si>
  <si>
    <t>K806+606</t>
  </si>
  <si>
    <t>洗江下中桥0号桥台左侧排水沟冲毁，1号台左侧锥坡部分冲毁，桥梁无检查平台</t>
  </si>
  <si>
    <t>洗江下中桥新建导流墙、检查平台、检修踏步、修复水沟等</t>
  </si>
  <si>
    <t>K756+200</t>
  </si>
  <si>
    <t>K756+280</t>
  </si>
  <si>
    <t>边坡落石</t>
  </si>
  <si>
    <t>路侧岩质边坡，部分岩体突出，频繁落石</t>
  </si>
  <si>
    <t>清除危岩体，增设主动防护网</t>
  </si>
  <si>
    <t>K757+580</t>
  </si>
  <si>
    <t>K757+640</t>
  </si>
  <si>
    <t>涵洞出水口冲毁</t>
  </si>
  <si>
    <t>右侧涵洞出水口冲毁，水沟破损</t>
  </si>
  <si>
    <t>修复涵洞出水口，重建水沟并接至路侧排放</t>
  </si>
  <si>
    <t>K760+000</t>
  </si>
  <si>
    <t>K760+020</t>
  </si>
  <si>
    <t>水沟冲毁</t>
  </si>
  <si>
    <t>左侧水沟冲毁，水流冲刷路基</t>
  </si>
  <si>
    <t>重建水沟，回填路基</t>
  </si>
  <si>
    <t>K766+875</t>
  </si>
  <si>
    <t>K767+120</t>
  </si>
  <si>
    <t>水沟缺失盖板</t>
  </si>
  <si>
    <t>右侧外弯处深水沟无盖板，多次发生汽车右轮驶入水沟的情况，存在明显隐患</t>
  </si>
  <si>
    <t>水沟增设盖板</t>
  </si>
  <si>
    <t>K19+650</t>
  </si>
  <si>
    <t>K19+923</t>
  </si>
  <si>
    <t>水沟积水</t>
  </si>
  <si>
    <t>水沟沟底较深，积水无法排放</t>
  </si>
  <si>
    <t>加高两侧水沟沟底</t>
  </si>
  <si>
    <t>K873+363</t>
  </si>
  <si>
    <t>K873+413</t>
  </si>
  <si>
    <t>边坡滑塌</t>
  </si>
  <si>
    <t>左侧路堑边坡，塌方路段长度约 26m 左右，塌方落物侵入路侧边沟，已造成边沟堵塞；塌方坡面顶部边缘约6m处有2根 110kV 架空输电线路砼电杆、约 13m 处有一座坟墓、约 28m 处有一座 500kV 架空输电线路铁塔。其中 2 根 110kV架空输电线路砼电杆距离坡口线较近。</t>
  </si>
  <si>
    <t>清理土方、克土喷播</t>
  </si>
  <si>
    <t>K2077+090</t>
  </si>
  <si>
    <t>K2077+202</t>
  </si>
  <si>
    <t>该路段为风化岩高边坡，已发生多起崩塌，碎石掉落</t>
  </si>
  <si>
    <t>K67+594</t>
  </si>
  <si>
    <t>K67+651</t>
  </si>
  <si>
    <t>左侧填方路基边坡被冲毁，已出现裂缝滑坡现象</t>
  </si>
  <si>
    <t>K93+580</t>
  </si>
  <si>
    <t>K93+630</t>
  </si>
  <si>
    <t>右侧路基边坡临河，水流冲刷路基，路基边坡已被冲毁一部分</t>
  </si>
  <si>
    <t>1.增设C20砼挡土墙。</t>
  </si>
  <si>
    <t>K97+450</t>
  </si>
  <si>
    <t>K97+490</t>
  </si>
  <si>
    <t>强降雨引起右侧土质上边坡塌方</t>
  </si>
  <si>
    <t>K356+220</t>
  </si>
  <si>
    <t>K356+250</t>
  </si>
  <si>
    <t>路堤冲刷</t>
  </si>
  <si>
    <t>左侧路基边坡临小溪，水流冲刷掏空路基，已出现路基边坡裂缝</t>
  </si>
  <si>
    <t>K90+83</t>
  </si>
  <si>
    <t>K90+85</t>
  </si>
  <si>
    <t>下边坡滑塌</t>
  </si>
  <si>
    <t>受水流冲刷影响，国道G535K90+830-K90+850段左幅路基出现路基缺口缺口长约20米，高度约5米，该处原有圆管涵受冲刷泥石影响，进水口八字翼墙冲毁，涵洞口淤堵，存在严重安全隐患。</t>
  </si>
  <si>
    <t>K579+016</t>
  </si>
  <si>
    <t>K579+11</t>
  </si>
  <si>
    <t>K575+16</t>
  </si>
  <si>
    <t>K575+28</t>
  </si>
  <si>
    <t>积水倒灌</t>
  </si>
  <si>
    <t>K13+23</t>
  </si>
  <si>
    <t>K13+25</t>
  </si>
  <si>
    <t>下边坡冲毁，路基掏空</t>
  </si>
  <si>
    <t>K14+949</t>
  </si>
  <si>
    <t>K14+961</t>
  </si>
  <si>
    <t>K22+238</t>
  </si>
  <si>
    <t>K22+268</t>
  </si>
  <si>
    <t>K484.095</t>
  </si>
  <si>
    <t>K484.175</t>
  </si>
  <si>
    <t>K2165+984</t>
  </si>
  <si>
    <t>K2166+201</t>
  </si>
  <si>
    <t>边坡崩塌</t>
  </si>
  <si>
    <t>边坡挖石方，挂网喷混生植物，新建平台沟</t>
  </si>
  <si>
    <t>K168+64</t>
  </si>
  <si>
    <t>K168+79</t>
  </si>
  <si>
    <t>清理落石，挂主动防护网，浆砌片石水沟修复</t>
  </si>
  <si>
    <t>K561+6</t>
  </si>
  <si>
    <t>K561+83</t>
  </si>
  <si>
    <t>挂主动防护网，清理松散石方，浆砌片石水沟，开挖水沟</t>
  </si>
  <si>
    <t>K300+333</t>
  </si>
  <si>
    <t>K300+354</t>
  </si>
  <si>
    <t>边坡塌方，存在安全隐患</t>
  </si>
  <si>
    <t>K45+33</t>
  </si>
  <si>
    <t>K45+45</t>
  </si>
  <si>
    <t>所属分中心</t>
  </si>
  <si>
    <t>新路线编码</t>
  </si>
  <si>
    <t>老路线编码</t>
  </si>
  <si>
    <t>路线名称</t>
  </si>
  <si>
    <t>技术等级</t>
  </si>
  <si>
    <t>路段属性（已建成/在建）</t>
  </si>
  <si>
    <t>2021年年报桩号</t>
  </si>
  <si>
    <t>老线路桩号</t>
  </si>
  <si>
    <t>建设类型</t>
  </si>
  <si>
    <t>现有设施类型</t>
  </si>
  <si>
    <t>规划项目名称</t>
  </si>
  <si>
    <t>规划设施类型（养护中心/道班/驿站）</t>
  </si>
  <si>
    <t>规划建设服务内容</t>
  </si>
  <si>
    <t>规划占地面积（m2）</t>
  </si>
  <si>
    <t>所属县乡</t>
  </si>
  <si>
    <t>距城镇距离（公里）</t>
  </si>
  <si>
    <t>距景区距离（公里）</t>
  </si>
  <si>
    <t>断面交通量</t>
  </si>
  <si>
    <t>估算建安费     （万元）</t>
  </si>
  <si>
    <t>年运营成本（万元）</t>
  </si>
  <si>
    <t>建设工期（月）</t>
  </si>
  <si>
    <t>土地情况（已完成征地/自有/未完成征地）</t>
  </si>
  <si>
    <t>S223</t>
  </si>
  <si>
    <t>南昌-惠来</t>
  </si>
  <si>
    <t>已建成</t>
  </si>
  <si>
    <t>新建</t>
  </si>
  <si>
    <t>永清岩驿站</t>
  </si>
  <si>
    <t>驿站</t>
  </si>
  <si>
    <t>拟建一栋2层面积为700m2的司乘之家，智慧停车场充电桩9个车位，普通小车停车场车位31个，半挂货车停车位6个</t>
  </si>
  <si>
    <t>安远县龙布镇</t>
  </si>
  <si>
    <t>已完成征地</t>
  </si>
  <si>
    <t>S324</t>
  </si>
  <si>
    <t>东营-深圳</t>
  </si>
  <si>
    <t>横岭驿站</t>
  </si>
  <si>
    <t>建设主要内容为公共卫生间、便利店、步道、观景亭、加水点、休息广场、停车位以及绿化等。其中大车车位2个，小车车位18个。</t>
  </si>
  <si>
    <t>上犹县水岩乡</t>
  </si>
  <si>
    <t>自有</t>
  </si>
  <si>
    <t>2025年赣州市普通国省道养护工程项目库“降速”专项工程项目清单</t>
  </si>
  <si>
    <r>
      <rPr>
        <b/>
        <sz val="11"/>
        <rFont val="宋体"/>
        <charset val="134"/>
      </rPr>
      <t>纵向标线面积（</t>
    </r>
    <r>
      <rPr>
        <b/>
        <sz val="11"/>
        <rFont val="SimSun"/>
        <charset val="134"/>
      </rPr>
      <t>㎡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</si>
  <si>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虚改实标线面积（</t>
    </r>
    <r>
      <rPr>
        <b/>
        <sz val="11"/>
        <rFont val="SimSun"/>
        <charset val="134"/>
      </rPr>
      <t>㎡</t>
    </r>
    <r>
      <rPr>
        <b/>
        <sz val="11"/>
        <rFont val="宋体"/>
        <charset val="134"/>
      </rPr>
      <t>）</t>
    </r>
  </si>
  <si>
    <t>大余分中心</t>
  </si>
  <si>
    <t>降速</t>
  </si>
  <si>
    <t>纵向标线、虚线改实线</t>
  </si>
  <si>
    <t>虚改实</t>
  </si>
  <si>
    <t>安远交界处</t>
  </si>
  <si>
    <t>樟坑</t>
  </si>
  <si>
    <t>纵向标线</t>
  </si>
  <si>
    <t>洪州村</t>
  </si>
  <si>
    <t>交通公厕</t>
  </si>
  <si>
    <t>龙塘交警中队</t>
  </si>
  <si>
    <t>龙塘新圩</t>
  </si>
  <si>
    <t>老围</t>
  </si>
  <si>
    <t>列雁山</t>
  </si>
  <si>
    <t>遥溪观坡底</t>
  </si>
  <si>
    <t>石盆村</t>
  </si>
  <si>
    <t>东山村</t>
  </si>
  <si>
    <t>外环路交界处</t>
  </si>
  <si>
    <t>修建桥</t>
  </si>
  <si>
    <t>汶岭村</t>
  </si>
  <si>
    <t>兴隆村</t>
  </si>
  <si>
    <t>虚线改实线</t>
  </si>
  <si>
    <t>车步村</t>
  </si>
  <si>
    <t>纵向减速标线</t>
  </si>
  <si>
    <t>龙源坝镇</t>
  </si>
  <si>
    <t>水庙</t>
  </si>
  <si>
    <t>珠高寨</t>
  </si>
  <si>
    <t>黄柏圩</t>
  </si>
  <si>
    <t>金龙</t>
  </si>
  <si>
    <t>坳子下</t>
  </si>
  <si>
    <t>大围</t>
  </si>
  <si>
    <t>高桥</t>
  </si>
  <si>
    <t>中稍</t>
  </si>
  <si>
    <t>元鱼</t>
  </si>
  <si>
    <t>油石</t>
  </si>
  <si>
    <t>石溪</t>
  </si>
  <si>
    <t>牛颈</t>
  </si>
  <si>
    <t>西牛圩</t>
  </si>
  <si>
    <t>座狮坑</t>
  </si>
  <si>
    <t>沙田坝</t>
  </si>
  <si>
    <t>城东大道红绿灯路口</t>
  </si>
  <si>
    <t>105国道与G357国道红绿灯路口</t>
  </si>
  <si>
    <t>105国道东华山寺红绿灯路口</t>
  </si>
  <si>
    <t>105国道与金华村红绿灯路口</t>
  </si>
  <si>
    <t>105国道新围上红绿灯路口</t>
  </si>
  <si>
    <t>105国道马路坑红绿灯路口</t>
  </si>
  <si>
    <t>坝高</t>
  </si>
  <si>
    <t>坝高1</t>
  </si>
  <si>
    <t>非界点</t>
  </si>
  <si>
    <t>建华</t>
  </si>
  <si>
    <t>下莲塘</t>
  </si>
  <si>
    <t>长链</t>
  </si>
  <si>
    <t>花历村</t>
  </si>
  <si>
    <t>新田道班</t>
  </si>
  <si>
    <t>新田镇红绿灯路段</t>
  </si>
  <si>
    <t>坪地山路口</t>
  </si>
  <si>
    <t>照镜锻</t>
  </si>
  <si>
    <t>库背村</t>
  </si>
  <si>
    <t>生美饭店</t>
  </si>
  <si>
    <t>新田茶叶厂</t>
  </si>
  <si>
    <t>新田镇半迳</t>
  </si>
  <si>
    <t>半径村</t>
  </si>
  <si>
    <t>新田镇马前脑</t>
  </si>
  <si>
    <t>德坑尾</t>
  </si>
  <si>
    <t>高丘小组</t>
  </si>
  <si>
    <t>营下</t>
  </si>
  <si>
    <t>上村</t>
  </si>
  <si>
    <t>石脑龙</t>
  </si>
  <si>
    <t>月亮山下</t>
  </si>
  <si>
    <t>新马头山下</t>
  </si>
  <si>
    <t>古陂镇橙乡石化红绿灯</t>
  </si>
  <si>
    <t>换田山</t>
  </si>
  <si>
    <t>阳光村</t>
  </si>
  <si>
    <t>阳光村部斑马线处</t>
  </si>
  <si>
    <t>古陂圩</t>
  </si>
  <si>
    <t>古陂太平木材检查站路口</t>
  </si>
  <si>
    <t>古陂镇石禾场</t>
  </si>
  <si>
    <t>黄土坎</t>
  </si>
  <si>
    <t>大塘工业园东路口</t>
  </si>
  <si>
    <t>五迳湖</t>
  </si>
  <si>
    <t>白仔塘</t>
  </si>
  <si>
    <t>S317安西段相交路口</t>
  </si>
  <si>
    <t>S316</t>
  </si>
  <si>
    <t>东风村东风卫生所</t>
  </si>
  <si>
    <t>河角仔码头</t>
  </si>
  <si>
    <t>光甫村入口</t>
  </si>
  <si>
    <t>省道连接终点</t>
  </si>
  <si>
    <t>老坪大线路口</t>
  </si>
  <si>
    <t>石仔坳</t>
  </si>
  <si>
    <t>江筑沥青路口</t>
  </si>
  <si>
    <t>高速入口</t>
  </si>
  <si>
    <t>G238国道</t>
  </si>
  <si>
    <t>鹅公形</t>
  </si>
  <si>
    <t>鹤子</t>
  </si>
  <si>
    <t>增设纵向减速标线</t>
  </si>
  <si>
    <t>太平村</t>
  </si>
  <si>
    <t>上魏村</t>
  </si>
  <si>
    <t>富长村</t>
  </si>
  <si>
    <t>镇岗圩</t>
  </si>
  <si>
    <t>罗山村</t>
  </si>
  <si>
    <t>石口村</t>
  </si>
  <si>
    <t>三排村</t>
  </si>
  <si>
    <t>黄陂</t>
  </si>
  <si>
    <t>官溪</t>
  </si>
  <si>
    <t>红光村</t>
  </si>
  <si>
    <t>庙角</t>
  </si>
  <si>
    <t>松岗村</t>
  </si>
  <si>
    <t>牛犬山</t>
  </si>
  <si>
    <t>迳背</t>
  </si>
  <si>
    <t>五丰村</t>
  </si>
  <si>
    <t>龙布圩</t>
  </si>
  <si>
    <t>上林村</t>
  </si>
  <si>
    <t>G357国道</t>
  </si>
  <si>
    <t>安信村</t>
  </si>
  <si>
    <t>分水垇</t>
  </si>
  <si>
    <t>莲塘村</t>
  </si>
  <si>
    <t>重石村</t>
  </si>
  <si>
    <t>黄坑村</t>
  </si>
  <si>
    <t>小乐村</t>
  </si>
  <si>
    <t>天心村</t>
  </si>
  <si>
    <t>大坋村</t>
  </si>
  <si>
    <t>G358国道</t>
  </si>
  <si>
    <t>三百山</t>
  </si>
  <si>
    <t>蛇坑</t>
  </si>
  <si>
    <t>虎岗村</t>
  </si>
  <si>
    <t>K633+430</t>
  </si>
  <si>
    <t>K633+630路段左侧</t>
  </si>
  <si>
    <t>K632+770</t>
  </si>
  <si>
    <t>K632+920路段左侧</t>
  </si>
  <si>
    <t>K632+480</t>
  </si>
  <si>
    <t>K632+580路段左侧</t>
  </si>
  <si>
    <t>K624+550</t>
  </si>
  <si>
    <t>K624+680路段右侧</t>
  </si>
  <si>
    <t>K625+750</t>
  </si>
  <si>
    <t>K625+900路段右侧</t>
  </si>
  <si>
    <t>K629+570</t>
  </si>
  <si>
    <t>K629+670路段右侧</t>
  </si>
  <si>
    <t>K635+470</t>
  </si>
  <si>
    <t>K635+600路段右侧</t>
  </si>
  <si>
    <t>K652+900</t>
  </si>
  <si>
    <t>K653+000路段左侧</t>
  </si>
  <si>
    <t>K654+150</t>
  </si>
  <si>
    <t>K654+250路段左侧</t>
  </si>
  <si>
    <t>K659+120</t>
  </si>
  <si>
    <t>K659+270路段右侧</t>
  </si>
  <si>
    <t>K659+420</t>
  </si>
  <si>
    <t>K659+520路段右侧</t>
  </si>
  <si>
    <t>K664+390</t>
  </si>
  <si>
    <t>K664+490路段右侧</t>
  </si>
  <si>
    <t>K663+470</t>
  </si>
  <si>
    <t>K663+570路段左侧</t>
  </si>
  <si>
    <t>K662+080</t>
  </si>
  <si>
    <t>K662+180路段左侧</t>
  </si>
  <si>
    <t>K661+600</t>
  </si>
  <si>
    <t>K661+700路段左侧</t>
  </si>
  <si>
    <t>K656+820</t>
  </si>
  <si>
    <t>K656+970路段左侧</t>
  </si>
  <si>
    <t>K654+440</t>
  </si>
  <si>
    <t>K654+540路段左侧</t>
  </si>
  <si>
    <t>G220国道</t>
  </si>
  <si>
    <t>K2118+240</t>
  </si>
  <si>
    <t>K2118+390路段右侧</t>
  </si>
  <si>
    <t>K2119+450</t>
  </si>
  <si>
    <t>K2119+600路段左侧</t>
  </si>
  <si>
    <t>K2124+750</t>
  </si>
  <si>
    <t>K2124+900路段右侧</t>
  </si>
  <si>
    <t>K2125+400</t>
  </si>
  <si>
    <t>K2125+500路段右侧</t>
  </si>
  <si>
    <t>K2127+150</t>
  </si>
  <si>
    <t>K2127+250路段右侧</t>
  </si>
  <si>
    <t>K2127+400</t>
  </si>
  <si>
    <t>K2127+500路段左侧</t>
  </si>
  <si>
    <t>K2128+200</t>
  </si>
  <si>
    <t>K2128+300路段右侧</t>
  </si>
  <si>
    <t>K2129+400</t>
  </si>
  <si>
    <t>K2129+550路段左侧</t>
  </si>
  <si>
    <t>K2116+550</t>
  </si>
  <si>
    <t>K2116+650路段左侧</t>
  </si>
  <si>
    <t>K2116+360</t>
  </si>
  <si>
    <t>K2116+460路段左侧</t>
  </si>
  <si>
    <t>K2115+860</t>
  </si>
  <si>
    <t>K2115+960路段左侧</t>
  </si>
  <si>
    <t>S316省道</t>
  </si>
  <si>
    <t>K113+800</t>
  </si>
  <si>
    <t>K113+900路段右侧</t>
  </si>
  <si>
    <t>K113+080</t>
  </si>
  <si>
    <t>K113+180路段右侧</t>
  </si>
  <si>
    <t>K108+210</t>
  </si>
  <si>
    <t>K108+360路段左侧</t>
  </si>
  <si>
    <t>K107+700</t>
  </si>
  <si>
    <t>K107+900路段左侧</t>
  </si>
  <si>
    <t>K105+800</t>
  </si>
  <si>
    <t>K105+900路段右侧</t>
  </si>
  <si>
    <t>K105+120</t>
  </si>
  <si>
    <t>K105+220路段左侧</t>
  </si>
  <si>
    <t>K104+790</t>
  </si>
  <si>
    <t>K104+940路段右侧</t>
  </si>
  <si>
    <t>K103+800</t>
  </si>
  <si>
    <t>K103+950路段左侧</t>
  </si>
  <si>
    <t>K107+400</t>
  </si>
  <si>
    <t>K107+550路段右侧</t>
  </si>
  <si>
    <t>K103+150</t>
  </si>
  <si>
    <t>K103+250路段左侧</t>
  </si>
  <si>
    <t>K102+500</t>
  </si>
  <si>
    <t>K102+600路段左侧</t>
  </si>
  <si>
    <t>K101+240</t>
  </si>
  <si>
    <t>K101+340路段左侧</t>
  </si>
  <si>
    <t>K98+100</t>
  </si>
  <si>
    <t>K98+200路段右侧</t>
  </si>
  <si>
    <t>K96+880</t>
  </si>
  <si>
    <t>K97+100</t>
  </si>
  <si>
    <t>K96+700</t>
  </si>
  <si>
    <t>K96+800</t>
  </si>
  <si>
    <t>K95+320</t>
  </si>
  <si>
    <t>K95+380</t>
  </si>
  <si>
    <t>K95+110</t>
  </si>
  <si>
    <t>K95+160</t>
  </si>
  <si>
    <t>K92+000</t>
  </si>
  <si>
    <t>K92+210</t>
  </si>
  <si>
    <t>K91+700</t>
  </si>
  <si>
    <t>K91+750</t>
  </si>
  <si>
    <t>K91+610</t>
  </si>
  <si>
    <t>K91+660</t>
  </si>
  <si>
    <t>K649+500</t>
  </si>
  <si>
    <t>K649+560</t>
  </si>
  <si>
    <t>K650+450</t>
  </si>
  <si>
    <t>K650+610</t>
  </si>
  <si>
    <t>K659+110</t>
  </si>
  <si>
    <t>K659+170</t>
  </si>
  <si>
    <t>K663+150</t>
  </si>
  <si>
    <t>K663+330</t>
  </si>
  <si>
    <t>K663+770</t>
  </si>
  <si>
    <t>K663+870</t>
  </si>
  <si>
    <t>K649+250</t>
  </si>
  <si>
    <t>K649+310</t>
  </si>
  <si>
    <t>K649+060</t>
  </si>
  <si>
    <t>K649+120</t>
  </si>
  <si>
    <t>K2123+260</t>
  </si>
  <si>
    <t>K2123+460</t>
  </si>
  <si>
    <t>赣县分中心</t>
  </si>
  <si>
    <t>中国石化赣县三江加油站</t>
  </si>
  <si>
    <t>K110+750</t>
  </si>
  <si>
    <t>江口六十里店</t>
  </si>
  <si>
    <t>K110+850</t>
  </si>
  <si>
    <t>老虎坑</t>
  </si>
  <si>
    <t>K111+300</t>
  </si>
  <si>
    <t>K111+400</t>
  </si>
  <si>
    <t>K112+500</t>
  </si>
  <si>
    <t>茅店刘屋</t>
  </si>
  <si>
    <t>K112+600</t>
  </si>
  <si>
    <t>黄龙村</t>
  </si>
  <si>
    <t>K114+450</t>
  </si>
  <si>
    <t>K114+550</t>
  </si>
  <si>
    <t>K115+450</t>
  </si>
  <si>
    <t>K115+550</t>
  </si>
  <si>
    <t>K116+000</t>
  </si>
  <si>
    <t>K116+100</t>
  </si>
  <si>
    <t>茅店</t>
  </si>
  <si>
    <t>K118+650</t>
  </si>
  <si>
    <t>K118+750</t>
  </si>
  <si>
    <t>K119+750</t>
  </si>
  <si>
    <t>K119+850</t>
  </si>
  <si>
    <t>K120+350</t>
  </si>
  <si>
    <t>K120+450</t>
  </si>
  <si>
    <t>赣县于都
三岔路口</t>
  </si>
  <si>
    <t>K109+312</t>
  </si>
  <si>
    <t>K109+412</t>
  </si>
  <si>
    <t>K113+100</t>
  </si>
  <si>
    <t>K113+200</t>
  </si>
  <si>
    <t>K113+900</t>
  </si>
  <si>
    <t>K114+950</t>
  </si>
  <si>
    <t>K115+050</t>
  </si>
  <si>
    <t>K115+800</t>
  </si>
  <si>
    <t>K115+900</t>
  </si>
  <si>
    <t>K116+500</t>
  </si>
  <si>
    <t>K116+600</t>
  </si>
  <si>
    <t>茅店东田</t>
  </si>
  <si>
    <t>K117+400</t>
  </si>
  <si>
    <t>K117+500</t>
  </si>
  <si>
    <t>K118+300</t>
  </si>
  <si>
    <t>K118+400</t>
  </si>
  <si>
    <t>K119+500</t>
  </si>
  <si>
    <t>K119+600</t>
  </si>
  <si>
    <t>K114+900</t>
  </si>
  <si>
    <t>K115+250</t>
  </si>
  <si>
    <t>K120+800</t>
  </si>
  <si>
    <t>K120+900</t>
  </si>
  <si>
    <t>道潭坝</t>
  </si>
  <si>
    <t>K364+350</t>
  </si>
  <si>
    <t>K364+450</t>
  </si>
  <si>
    <t>K366+500</t>
  </si>
  <si>
    <t>南塘镇人民政府</t>
  </si>
  <si>
    <t>K366+600</t>
  </si>
  <si>
    <t>K368+550</t>
  </si>
  <si>
    <t>南塘圩镇</t>
  </si>
  <si>
    <t>K368+650</t>
  </si>
  <si>
    <t>麂滩</t>
  </si>
  <si>
    <t>K373+650</t>
  </si>
  <si>
    <t>K373+750</t>
  </si>
  <si>
    <t>南塘</t>
  </si>
  <si>
    <t>K375+400</t>
  </si>
  <si>
    <t>K375+500</t>
  </si>
  <si>
    <t>吉埠</t>
  </si>
  <si>
    <t>K381+550</t>
  </si>
  <si>
    <t>K381+650</t>
  </si>
  <si>
    <t>K381+750</t>
  </si>
  <si>
    <t>K381+850</t>
  </si>
  <si>
    <t>江口圩镇</t>
  </si>
  <si>
    <t>K388+450</t>
  </si>
  <si>
    <t>K388+550</t>
  </si>
  <si>
    <t>江口</t>
  </si>
  <si>
    <t>K390+500</t>
  </si>
  <si>
    <t>K390+600</t>
  </si>
  <si>
    <t>K391+450</t>
  </si>
  <si>
    <t>K391+550</t>
  </si>
  <si>
    <t>K392+400</t>
  </si>
  <si>
    <t>K392+500</t>
  </si>
  <si>
    <t>K395+200</t>
  </si>
  <si>
    <t>K395+500</t>
  </si>
  <si>
    <t>K395+900</t>
  </si>
  <si>
    <t>K396+000</t>
  </si>
  <si>
    <t>K396+750</t>
  </si>
  <si>
    <t>K396+850</t>
  </si>
  <si>
    <t>K363+800</t>
  </si>
  <si>
    <t>K363+900</t>
  </si>
  <si>
    <t>K365+300</t>
  </si>
  <si>
    <t>K365+500</t>
  </si>
  <si>
    <t>K366+000</t>
  </si>
  <si>
    <t>K366+150</t>
  </si>
  <si>
    <t>K366+800</t>
  </si>
  <si>
    <t>K369+400</t>
  </si>
  <si>
    <t>K369+500</t>
  </si>
  <si>
    <t>K370+300</t>
  </si>
  <si>
    <t>K370+500</t>
  </si>
  <si>
    <t>K370+700</t>
  </si>
  <si>
    <t>K371+000</t>
  </si>
  <si>
    <t>K386+400</t>
  </si>
  <si>
    <t>K386+700</t>
  </si>
  <si>
    <t>K360+900</t>
  </si>
  <si>
    <t>K362+450</t>
  </si>
  <si>
    <t>K367+800</t>
  </si>
  <si>
    <t>K372+500</t>
  </si>
  <si>
    <t>K372+600</t>
  </si>
  <si>
    <t>K378+850</t>
  </si>
  <si>
    <t>K385+000</t>
  </si>
  <si>
    <t>K386+800</t>
  </si>
  <si>
    <t>K393+450</t>
  </si>
  <si>
    <t>K395+300</t>
  </si>
  <si>
    <t>梅山里</t>
  </si>
  <si>
    <t>K126+600</t>
  </si>
  <si>
    <t>K126+800</t>
  </si>
  <si>
    <t>阳埠</t>
  </si>
  <si>
    <t>K128+800</t>
  </si>
  <si>
    <t>K128+900</t>
  </si>
  <si>
    <t>大田</t>
  </si>
  <si>
    <t>K132+050</t>
  </si>
  <si>
    <t>K132+150</t>
  </si>
  <si>
    <t>王母渡圩镇</t>
  </si>
  <si>
    <t>K133+600</t>
  </si>
  <si>
    <t>K133+700</t>
  </si>
  <si>
    <t>王母渡卫生院</t>
  </si>
  <si>
    <t>K134+200</t>
  </si>
  <si>
    <t>K134+300</t>
  </si>
  <si>
    <t>横溪</t>
  </si>
  <si>
    <t>K138+500</t>
  </si>
  <si>
    <t>K138+600</t>
  </si>
  <si>
    <t>K138+680</t>
  </si>
  <si>
    <t>K138+780</t>
  </si>
  <si>
    <t>果子坝</t>
  </si>
  <si>
    <t>K150+150</t>
  </si>
  <si>
    <t>K150+250</t>
  </si>
  <si>
    <t>K154+500</t>
  </si>
  <si>
    <t>K154+700</t>
  </si>
  <si>
    <t>梅街</t>
  </si>
  <si>
    <t>K155+550</t>
  </si>
  <si>
    <t>K155+650</t>
  </si>
  <si>
    <t>天子峰景区</t>
  </si>
  <si>
    <t>K165+800</t>
  </si>
  <si>
    <t>K165+900</t>
  </si>
  <si>
    <t>塆兴村</t>
  </si>
  <si>
    <t>南星村</t>
  </si>
  <si>
    <t>马岭寨</t>
  </si>
  <si>
    <t>前丰村</t>
  </si>
  <si>
    <t>麻州村</t>
  </si>
  <si>
    <t>横岭村</t>
  </si>
  <si>
    <t>南坑村</t>
  </si>
  <si>
    <t>大岗脑</t>
  </si>
  <si>
    <t>牛岗下</t>
  </si>
  <si>
    <t>半岗村</t>
  </si>
  <si>
    <t>学子村</t>
  </si>
  <si>
    <t>麻地垇</t>
  </si>
  <si>
    <t>盘古村</t>
  </si>
  <si>
    <t>长岭村</t>
  </si>
  <si>
    <t>羊子寨</t>
  </si>
  <si>
    <t>连丰村</t>
  </si>
  <si>
    <t>教化岽</t>
  </si>
  <si>
    <t>围岽</t>
  </si>
  <si>
    <t>右水村</t>
  </si>
  <si>
    <t>上寨</t>
  </si>
  <si>
    <t>高排村</t>
  </si>
  <si>
    <t>网形</t>
  </si>
  <si>
    <t>油槽垇</t>
  </si>
  <si>
    <t>大塘湖</t>
  </si>
  <si>
    <t>梓坑村</t>
  </si>
  <si>
    <t>坎脑</t>
  </si>
  <si>
    <t>江尾</t>
  </si>
  <si>
    <t>角塘</t>
  </si>
  <si>
    <t>赖屋</t>
  </si>
  <si>
    <t>老圩</t>
  </si>
  <si>
    <t xml:space="preserve">庄口镇 </t>
  </si>
  <si>
    <t>大坪岗</t>
  </si>
  <si>
    <t>禾坑村</t>
  </si>
  <si>
    <t>白沙村</t>
  </si>
  <si>
    <t>大西坝村</t>
  </si>
  <si>
    <t>杉坑村</t>
  </si>
  <si>
    <t>下照村</t>
  </si>
  <si>
    <t>上照村</t>
  </si>
  <si>
    <t>怀仁村</t>
  </si>
  <si>
    <t>勤建村</t>
  </si>
  <si>
    <t>纵向减速标线、虚改实标线</t>
  </si>
  <si>
    <t>水明村</t>
  </si>
  <si>
    <t>虚改实标线</t>
  </si>
  <si>
    <t>大华村</t>
  </si>
  <si>
    <t>珠坑北路口</t>
  </si>
  <si>
    <t>K1926+500</t>
  </si>
  <si>
    <t>K1926+600</t>
  </si>
  <si>
    <t>珠坑南路口</t>
  </si>
  <si>
    <t>K1929+260</t>
  </si>
  <si>
    <t>K1929+460</t>
  </si>
  <si>
    <t>丹阳桥南路口</t>
  </si>
  <si>
    <t>K1935+750</t>
  </si>
  <si>
    <t>K1935+850</t>
  </si>
  <si>
    <t>横江加油站路口</t>
  </si>
  <si>
    <t>K1936+000</t>
  </si>
  <si>
    <t>K1936+200</t>
  </si>
  <si>
    <t>赣江源镇北路口</t>
  </si>
  <si>
    <t>K1937+830</t>
  </si>
  <si>
    <t>K1937+930</t>
  </si>
  <si>
    <t>赣江源镇罗云村路口</t>
  </si>
  <si>
    <t>K1938+950</t>
  </si>
  <si>
    <t>K1939+150</t>
  </si>
  <si>
    <t>洋地路口</t>
  </si>
  <si>
    <t>K1940+960</t>
  </si>
  <si>
    <t>K1941+060</t>
  </si>
  <si>
    <t>龙岗北路口</t>
  </si>
  <si>
    <t>K1943+200</t>
  </si>
  <si>
    <t>K1943+300</t>
  </si>
  <si>
    <t>K1943+400</t>
  </si>
  <si>
    <t>K1943+500</t>
  </si>
  <si>
    <t>龙岗南路口</t>
  </si>
  <si>
    <t>K1946+200</t>
  </si>
  <si>
    <t>K1946+300</t>
  </si>
  <si>
    <t>观音坳隧道口前</t>
  </si>
  <si>
    <t>观音坳隧道口后</t>
  </si>
  <si>
    <t>新城村</t>
  </si>
  <si>
    <t>田尾村</t>
  </si>
  <si>
    <t>麻坑</t>
  </si>
  <si>
    <t>菜园排</t>
  </si>
  <si>
    <t>北坑子村</t>
  </si>
  <si>
    <t>下泥</t>
  </si>
  <si>
    <t>樟边</t>
  </si>
  <si>
    <t>寨脑</t>
  </si>
  <si>
    <t>东风村</t>
  </si>
  <si>
    <t>莲湖村</t>
  </si>
  <si>
    <t>梅窖</t>
  </si>
  <si>
    <t>禾稿坑</t>
  </si>
  <si>
    <t>老营盘</t>
  </si>
  <si>
    <t>樟木</t>
  </si>
  <si>
    <t>沉香寺</t>
  </si>
  <si>
    <t>弯内村</t>
  </si>
  <si>
    <t>隘上村</t>
  </si>
  <si>
    <t>桐林村</t>
  </si>
  <si>
    <t>街上村</t>
  </si>
  <si>
    <t>石壁坳</t>
  </si>
  <si>
    <t>S452</t>
  </si>
  <si>
    <t>连塘面</t>
  </si>
  <si>
    <t>塘背村</t>
  </si>
  <si>
    <t>侯迳</t>
  </si>
  <si>
    <t>塘背村入口</t>
  </si>
  <si>
    <t>塘背村出口</t>
  </si>
  <si>
    <t>茶石村</t>
  </si>
  <si>
    <t>茶石桥</t>
  </si>
  <si>
    <t>S458</t>
  </si>
  <si>
    <t>G358</t>
  </si>
  <si>
    <t>罗江乡</t>
  </si>
  <si>
    <t>葛坳乡</t>
  </si>
  <si>
    <t>桥头乡</t>
  </si>
  <si>
    <t>银坑镇</t>
  </si>
  <si>
    <t>梓山镇</t>
  </si>
  <si>
    <t>仙下乡</t>
  </si>
  <si>
    <t>岭背镇</t>
  </si>
  <si>
    <t>南田村</t>
  </si>
  <si>
    <t>赖村圩镇</t>
  </si>
  <si>
    <t>K37+900</t>
  </si>
  <si>
    <t>K38+100</t>
  </si>
  <si>
    <t>赖村镇新民村</t>
  </si>
  <si>
    <t>K865+600</t>
  </si>
  <si>
    <t>K865+800</t>
  </si>
  <si>
    <t>K862+800</t>
  </si>
  <si>
    <t>K863+000</t>
  </si>
  <si>
    <t>增设纵向减速标线、中心实线</t>
  </si>
  <si>
    <t>K862+500</t>
  </si>
  <si>
    <t>K862+900</t>
  </si>
  <si>
    <t>K858+350</t>
  </si>
  <si>
    <t>K858+550</t>
  </si>
  <si>
    <t>K846+450</t>
  </si>
  <si>
    <t>K846+750</t>
  </si>
  <si>
    <t>K840+500</t>
  </si>
  <si>
    <t>K840+900</t>
  </si>
  <si>
    <t>S448</t>
  </si>
  <si>
    <t>K106+000</t>
  </si>
  <si>
    <t>K106+200</t>
  </si>
  <si>
    <t>K106+450</t>
  </si>
  <si>
    <t>K106+550</t>
  </si>
  <si>
    <t>K114+100</t>
  </si>
  <si>
    <t>K114+300</t>
  </si>
  <si>
    <t>K116+050</t>
  </si>
  <si>
    <t>K116+150</t>
  </si>
  <si>
    <t>K754+750</t>
  </si>
  <si>
    <t>K754+950</t>
  </si>
  <si>
    <t>K69+980</t>
  </si>
  <si>
    <t>K70+180</t>
  </si>
  <si>
    <t>K76+460</t>
  </si>
  <si>
    <t>K76+660</t>
  </si>
  <si>
    <t>K81+100</t>
  </si>
  <si>
    <t>K81+500</t>
  </si>
  <si>
    <t>K84+150</t>
  </si>
  <si>
    <t>K84+550</t>
  </si>
  <si>
    <t>K109+500</t>
  </si>
  <si>
    <t>K109+900</t>
  </si>
  <si>
    <t>K666+050</t>
  </si>
  <si>
    <t>K666+250</t>
  </si>
  <si>
    <t>K674+850</t>
  </si>
  <si>
    <t>K675+050</t>
  </si>
  <si>
    <t>K682+850</t>
  </si>
  <si>
    <t>K683+050</t>
  </si>
  <si>
    <t>K694+300</t>
  </si>
  <si>
    <t>K694+500</t>
  </si>
  <si>
    <t>K696+750</t>
  </si>
  <si>
    <t>K697+150</t>
  </si>
  <si>
    <t>K698+200</t>
  </si>
  <si>
    <t>K698+700</t>
  </si>
  <si>
    <t>K707+450</t>
  </si>
  <si>
    <t>K707+550</t>
  </si>
  <si>
    <t>K724+500</t>
  </si>
  <si>
    <t>K724+700</t>
  </si>
  <si>
    <t>K727+850</t>
  </si>
  <si>
    <t>K728+150</t>
  </si>
  <si>
    <t>K735+800</t>
  </si>
  <si>
    <t>K736+000</t>
  </si>
  <si>
    <t>K496+100</t>
  </si>
  <si>
    <t>K496+300</t>
  </si>
  <si>
    <t>K499+900</t>
  </si>
  <si>
    <t>K500+200</t>
  </si>
  <si>
    <t>K501+500</t>
  </si>
  <si>
    <t>K501+800</t>
  </si>
  <si>
    <t>K504+350</t>
  </si>
  <si>
    <t>K504+550</t>
  </si>
  <si>
    <t>K505+800</t>
  </si>
  <si>
    <t>K506+000</t>
  </si>
  <si>
    <t>K509+200</t>
  </si>
  <si>
    <t>K510+100</t>
  </si>
  <si>
    <t>K517+400</t>
  </si>
  <si>
    <t>K517+700</t>
  </si>
  <si>
    <t>K526+300</t>
  </si>
  <si>
    <t>K526+800</t>
  </si>
  <si>
    <t>K528+350</t>
  </si>
  <si>
    <t>K528+550</t>
  </si>
  <si>
    <t>K725+450</t>
  </si>
  <si>
    <t>K725+650</t>
  </si>
  <si>
    <t>K723+650</t>
  </si>
  <si>
    <t>K732+850</t>
  </si>
  <si>
    <t>K5+200</t>
  </si>
  <si>
    <t>K5+400</t>
  </si>
  <si>
    <t>K10+800</t>
  </si>
  <si>
    <t>K11+000</t>
  </si>
  <si>
    <t>K12+850</t>
  </si>
  <si>
    <t>K13+050</t>
  </si>
  <si>
    <t>K14+650</t>
  </si>
  <si>
    <t>K14+850</t>
  </si>
  <si>
    <t>K20+700</t>
  </si>
  <si>
    <t>K20+900</t>
  </si>
  <si>
    <t>K21+550</t>
  </si>
  <si>
    <t>K21+750</t>
  </si>
  <si>
    <t>K23+300</t>
  </si>
  <si>
    <t>K23+500</t>
  </si>
  <si>
    <t>K23+850</t>
  </si>
  <si>
    <t>K24+050</t>
  </si>
  <si>
    <t>K5+700</t>
  </si>
  <si>
    <t>K5+900</t>
  </si>
  <si>
    <t>K715+800</t>
  </si>
  <si>
    <t>K716+000</t>
  </si>
  <si>
    <t>K135+500</t>
  </si>
  <si>
    <t>K135+700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</si>
</sst>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.0_ ;_ @_ "/>
    <numFmt numFmtId="177" formatCode="0.00_ "/>
    <numFmt numFmtId="178" formatCode="0.000_ "/>
    <numFmt numFmtId="179" formatCode="0_ ;[Red]\-0\ "/>
    <numFmt numFmtId="180" formatCode="0_ "/>
    <numFmt numFmtId="181" formatCode="0.0000_ "/>
    <numFmt numFmtId="182" formatCode="0.000_);[Red]\(0.000\)"/>
    <numFmt numFmtId="183" formatCode="\K0\+000"/>
    <numFmt numFmtId="184" formatCode="\K000\+000"/>
    <numFmt numFmtId="185" formatCode="0.0_ "/>
    <numFmt numFmtId="186" formatCode="0.000_ ;[Red]\-0.000\ "/>
  </numFmts>
  <fonts count="5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20"/>
      <name val="宋体"/>
      <charset val="134"/>
    </font>
    <font>
      <b/>
      <sz val="11"/>
      <name val="宋体"/>
      <charset val="134"/>
      <scheme val="major"/>
    </font>
    <font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vertAlign val="superscript"/>
      <sz val="10"/>
      <name val="宋体"/>
      <charset val="134"/>
    </font>
    <font>
      <b/>
      <sz val="11"/>
      <name val="SimSu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4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8" applyNumberFormat="0" applyFill="0" applyAlignment="0" applyProtection="0">
      <alignment vertical="center"/>
    </xf>
    <xf numFmtId="0" fontId="41" fillId="0" borderId="48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50" applyNumberFormat="0" applyAlignment="0" applyProtection="0">
      <alignment vertical="center"/>
    </xf>
    <xf numFmtId="0" fontId="44" fillId="6" borderId="51" applyNumberFormat="0" applyAlignment="0" applyProtection="0">
      <alignment vertical="center"/>
    </xf>
    <xf numFmtId="0" fontId="45" fillId="6" borderId="50" applyNumberFormat="0" applyAlignment="0" applyProtection="0">
      <alignment vertical="center"/>
    </xf>
    <xf numFmtId="0" fontId="46" fillId="7" borderId="52" applyNumberFormat="0" applyAlignment="0" applyProtection="0">
      <alignment vertical="center"/>
    </xf>
    <xf numFmtId="0" fontId="47" fillId="0" borderId="53" applyNumberFormat="0" applyFill="0" applyAlignment="0" applyProtection="0">
      <alignment vertical="center"/>
    </xf>
    <xf numFmtId="0" fontId="48" fillId="0" borderId="54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/>
    <xf numFmtId="0" fontId="25" fillId="0" borderId="0" applyNumberFormat="0" applyFill="0">
      <alignment vertical="center"/>
    </xf>
    <xf numFmtId="0" fontId="21" fillId="0" borderId="0" applyNumberFormat="0" applyFill="0">
      <alignment vertical="center"/>
    </xf>
    <xf numFmtId="0" fontId="54" fillId="0" borderId="0">
      <alignment vertical="center"/>
    </xf>
  </cellStyleXfs>
  <cellXfs count="39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9" fontId="7" fillId="0" borderId="1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80" fontId="4" fillId="0" borderId="7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79" fontId="4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82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 wrapText="1"/>
    </xf>
    <xf numFmtId="183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/>
    </xf>
    <xf numFmtId="184" fontId="5" fillId="0" borderId="7" xfId="54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84" fontId="5" fillId="0" borderId="3" xfId="54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82" fontId="5" fillId="3" borderId="1" xfId="0" applyNumberFormat="1" applyFont="1" applyFill="1" applyBorder="1" applyAlignment="1">
      <alignment horizontal="center" vertical="center" wrapText="1"/>
    </xf>
    <xf numFmtId="185" fontId="5" fillId="0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82" fontId="5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/>
    </xf>
    <xf numFmtId="180" fontId="4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0" fontId="14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85" fontId="8" fillId="0" borderId="14" xfId="0" applyNumberFormat="1" applyFont="1" applyFill="1" applyBorder="1" applyAlignment="1">
      <alignment horizontal="center" vertical="center" wrapText="1"/>
    </xf>
    <xf numFmtId="185" fontId="5" fillId="0" borderId="14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180" fontId="4" fillId="0" borderId="1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/>
    <xf numFmtId="177" fontId="17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0" fontId="0" fillId="0" borderId="0" xfId="0" applyNumberFormat="1" applyFill="1" applyAlignment="1">
      <alignment vertical="center"/>
    </xf>
    <xf numFmtId="178" fontId="15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80" fontId="15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80" fontId="19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80" fontId="14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80" fontId="20" fillId="0" borderId="0" xfId="0" applyNumberFormat="1" applyFont="1" applyFill="1" applyBorder="1" applyAlignment="1">
      <alignment horizontal="center" vertical="center" wrapText="1"/>
    </xf>
    <xf numFmtId="180" fontId="7" fillId="0" borderId="14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180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180" fontId="5" fillId="0" borderId="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0" fontId="23" fillId="0" borderId="0" xfId="0" applyNumberFormat="1" applyFont="1" applyFill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80" fontId="7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 wrapText="1"/>
    </xf>
    <xf numFmtId="185" fontId="4" fillId="0" borderId="1" xfId="0" applyNumberFormat="1" applyFont="1" applyFill="1" applyBorder="1" applyAlignment="1">
      <alignment horizontal="center" vertical="center" wrapText="1"/>
    </xf>
    <xf numFmtId="185" fontId="5" fillId="0" borderId="1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80" fontId="2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180" fontId="25" fillId="0" borderId="0" xfId="0" applyNumberFormat="1" applyFont="1" applyFill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15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15" fillId="0" borderId="0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185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85" fontId="7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left" vertical="center" wrapText="1"/>
    </xf>
    <xf numFmtId="185" fontId="4" fillId="0" borderId="1" xfId="0" applyNumberFormat="1" applyFont="1" applyFill="1" applyBorder="1" applyAlignment="1">
      <alignment horizontal="left" vertical="center" wrapText="1"/>
    </xf>
    <xf numFmtId="180" fontId="5" fillId="0" borderId="0" xfId="0" applyNumberFormat="1" applyFont="1" applyFill="1" applyBorder="1" applyAlignment="1">
      <alignment horizontal="center" vertical="center" wrapText="1"/>
    </xf>
    <xf numFmtId="185" fontId="5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5" fillId="0" borderId="29" xfId="5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86" fontId="7" fillId="0" borderId="26" xfId="0" applyNumberFormat="1" applyFont="1" applyFill="1" applyBorder="1" applyAlignment="1">
      <alignment horizontal="center" vertical="center" wrapText="1"/>
    </xf>
    <xf numFmtId="185" fontId="7" fillId="0" borderId="26" xfId="0" applyNumberFormat="1" applyFont="1" applyFill="1" applyBorder="1" applyAlignment="1">
      <alignment horizontal="center" vertical="center" wrapText="1"/>
    </xf>
    <xf numFmtId="186" fontId="7" fillId="0" borderId="1" xfId="0" applyNumberFormat="1" applyFont="1" applyFill="1" applyBorder="1" applyAlignment="1">
      <alignment horizontal="center" vertical="center" wrapText="1"/>
    </xf>
    <xf numFmtId="186" fontId="11" fillId="0" borderId="1" xfId="0" applyNumberFormat="1" applyFont="1" applyFill="1" applyBorder="1" applyAlignment="1">
      <alignment horizontal="center" vertical="center" wrapText="1"/>
    </xf>
    <xf numFmtId="185" fontId="11" fillId="0" borderId="1" xfId="0" applyNumberFormat="1" applyFont="1" applyFill="1" applyBorder="1" applyAlignment="1">
      <alignment horizontal="center" vertical="center" wrapText="1"/>
    </xf>
    <xf numFmtId="186" fontId="11" fillId="0" borderId="32" xfId="0" applyNumberFormat="1" applyFont="1" applyFill="1" applyBorder="1" applyAlignment="1">
      <alignment horizontal="center" vertical="center" wrapText="1"/>
    </xf>
    <xf numFmtId="185" fontId="11" fillId="0" borderId="32" xfId="0" applyNumberFormat="1" applyFont="1" applyFill="1" applyBorder="1" applyAlignment="1">
      <alignment horizontal="center" vertical="center" wrapText="1"/>
    </xf>
    <xf numFmtId="186" fontId="11" fillId="3" borderId="26" xfId="0" applyNumberFormat="1" applyFont="1" applyFill="1" applyBorder="1" applyAlignment="1">
      <alignment horizontal="center" vertical="center" wrapText="1"/>
    </xf>
    <xf numFmtId="185" fontId="11" fillId="3" borderId="26" xfId="0" applyNumberFormat="1" applyFont="1" applyFill="1" applyBorder="1" applyAlignment="1">
      <alignment horizontal="center" vertical="center" wrapText="1"/>
    </xf>
    <xf numFmtId="186" fontId="11" fillId="3" borderId="1" xfId="0" applyNumberFormat="1" applyFont="1" applyFill="1" applyBorder="1" applyAlignment="1">
      <alignment horizontal="center" vertical="center" wrapText="1"/>
    </xf>
    <xf numFmtId="185" fontId="11" fillId="3" borderId="1" xfId="0" applyNumberFormat="1" applyFont="1" applyFill="1" applyBorder="1" applyAlignment="1">
      <alignment horizontal="center" vertical="center" wrapText="1"/>
    </xf>
    <xf numFmtId="186" fontId="5" fillId="0" borderId="1" xfId="0" applyNumberFormat="1" applyFont="1" applyFill="1" applyBorder="1" applyAlignment="1">
      <alignment horizontal="center" vertical="center" wrapText="1"/>
    </xf>
    <xf numFmtId="186" fontId="5" fillId="0" borderId="1" xfId="5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86" fontId="8" fillId="0" borderId="1" xfId="50" applyNumberFormat="1" applyFont="1" applyFill="1" applyBorder="1" applyAlignment="1">
      <alignment horizontal="center" vertical="center" wrapText="1"/>
    </xf>
    <xf numFmtId="180" fontId="15" fillId="0" borderId="0" xfId="0" applyNumberFormat="1" applyFont="1" applyFill="1" applyAlignment="1">
      <alignment horizontal="center" vertical="center" wrapText="1"/>
    </xf>
    <xf numFmtId="180" fontId="7" fillId="0" borderId="26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80" fontId="11" fillId="0" borderId="32" xfId="0" applyNumberFormat="1" applyFont="1" applyFill="1" applyBorder="1" applyAlignment="1">
      <alignment horizontal="center" vertical="center" wrapText="1"/>
    </xf>
    <xf numFmtId="180" fontId="11" fillId="3" borderId="26" xfId="0" applyNumberFormat="1" applyFont="1" applyFill="1" applyBorder="1" applyAlignment="1">
      <alignment horizontal="center" vertical="center" wrapText="1"/>
    </xf>
    <xf numFmtId="180" fontId="1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80" fontId="8" fillId="0" borderId="1" xfId="50" applyNumberFormat="1" applyFont="1" applyFill="1" applyBorder="1" applyAlignment="1">
      <alignment horizontal="center" vertical="center" wrapText="1"/>
    </xf>
    <xf numFmtId="180" fontId="5" fillId="0" borderId="1" xfId="5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10" fontId="11" fillId="0" borderId="37" xfId="3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9" fontId="11" fillId="3" borderId="36" xfId="3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2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186" fontId="5" fillId="0" borderId="32" xfId="0" applyNumberFormat="1" applyFont="1" applyFill="1" applyBorder="1" applyAlignment="1">
      <alignment horizontal="center" vertical="center" wrapText="1"/>
    </xf>
    <xf numFmtId="178" fontId="5" fillId="0" borderId="44" xfId="0" applyNumberFormat="1" applyFont="1" applyFill="1" applyBorder="1" applyAlignment="1">
      <alignment horizontal="center" vertical="center" wrapText="1"/>
    </xf>
    <xf numFmtId="185" fontId="5" fillId="0" borderId="32" xfId="0" applyNumberFormat="1" applyFont="1" applyFill="1" applyBorder="1" applyAlignment="1">
      <alignment horizontal="center" vertical="center" wrapText="1"/>
    </xf>
    <xf numFmtId="178" fontId="5" fillId="0" borderId="32" xfId="0" applyNumberFormat="1" applyFont="1" applyFill="1" applyBorder="1" applyAlignment="1">
      <alignment horizontal="center" vertical="center" wrapText="1"/>
    </xf>
    <xf numFmtId="186" fontId="4" fillId="0" borderId="26" xfId="0" applyNumberFormat="1" applyFont="1" applyFill="1" applyBorder="1" applyAlignment="1">
      <alignment horizontal="center" vertical="center" wrapText="1"/>
    </xf>
    <xf numFmtId="185" fontId="4" fillId="0" borderId="26" xfId="0" applyNumberFormat="1" applyFont="1" applyFill="1" applyBorder="1" applyAlignment="1">
      <alignment horizontal="center" vertical="center" wrapText="1"/>
    </xf>
    <xf numFmtId="186" fontId="4" fillId="0" borderId="1" xfId="0" applyNumberFormat="1" applyFont="1" applyFill="1" applyBorder="1" applyAlignment="1">
      <alignment horizontal="center" vertical="center" wrapText="1"/>
    </xf>
    <xf numFmtId="178" fontId="5" fillId="0" borderId="1" xfId="50" applyNumberFormat="1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 wrapText="1"/>
    </xf>
    <xf numFmtId="186" fontId="5" fillId="0" borderId="32" xfId="50" applyNumberFormat="1" applyFont="1" applyFill="1" applyBorder="1" applyAlignment="1">
      <alignment horizontal="center" vertical="center" wrapText="1"/>
    </xf>
    <xf numFmtId="180" fontId="5" fillId="0" borderId="44" xfId="0" applyNumberFormat="1" applyFont="1" applyFill="1" applyBorder="1" applyAlignment="1">
      <alignment horizontal="center" vertical="center" wrapText="1"/>
    </xf>
    <xf numFmtId="180" fontId="4" fillId="0" borderId="26" xfId="0" applyNumberFormat="1" applyFont="1" applyFill="1" applyBorder="1" applyAlignment="1">
      <alignment horizontal="center" vertical="center" wrapText="1"/>
    </xf>
    <xf numFmtId="186" fontId="5" fillId="0" borderId="2" xfId="0" applyNumberFormat="1" applyFont="1" applyFill="1" applyBorder="1" applyAlignment="1">
      <alignment horizontal="center" vertical="center" wrapText="1"/>
    </xf>
    <xf numFmtId="186" fontId="5" fillId="0" borderId="3" xfId="0" applyNumberFormat="1" applyFont="1" applyFill="1" applyBorder="1" applyAlignment="1">
      <alignment horizontal="center" vertical="center" wrapText="1"/>
    </xf>
    <xf numFmtId="186" fontId="5" fillId="0" borderId="7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180" fontId="5" fillId="3" borderId="2" xfId="50" applyNumberFormat="1" applyFont="1" applyFill="1" applyBorder="1" applyAlignment="1">
      <alignment horizontal="center" vertical="center" wrapText="1"/>
    </xf>
    <xf numFmtId="180" fontId="5" fillId="3" borderId="1" xfId="0" applyNumberFormat="1" applyFont="1" applyFill="1" applyBorder="1" applyAlignment="1">
      <alignment horizontal="center" vertical="center"/>
    </xf>
    <xf numFmtId="180" fontId="5" fillId="0" borderId="32" xfId="50" applyNumberFormat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9" fontId="4" fillId="0" borderId="36" xfId="3" applyFont="1" applyFill="1" applyBorder="1" applyAlignment="1">
      <alignment horizontal="center" vertical="center"/>
    </xf>
    <xf numFmtId="0" fontId="5" fillId="0" borderId="36" xfId="5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0" fillId="0" borderId="0" xfId="0" applyFont="1"/>
    <xf numFmtId="0" fontId="27" fillId="0" borderId="0" xfId="0" applyFont="1"/>
    <xf numFmtId="0" fontId="3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180" fontId="2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1 2 4" xfId="51"/>
    <cellStyle name="常规_宜春养护工程项目情况表" xfId="52"/>
    <cellStyle name="常规 4" xfId="53"/>
    <cellStyle name="常规_Sheet1" xfId="54"/>
  </cellStyles>
  <tableStyles count="0" defaultTableStyle="TableStyleMedium2" defaultPivotStyle="PivotStyleLight16"/>
  <colors>
    <mruColors>
      <color rgb="00FFFFFF"/>
      <color rgb="00D7EEBF"/>
      <color rgb="00DFF1CB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\&#26449;&#36947;&#35843;&#265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\1-&#21704;&#23572;&#283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\&#26725;&#26753;&#32508;&#21512;&#20449;&#24687;&#21015;&#34920;-&#36195;&#24030;&#24066;&#20844;&#36335;&#21457;&#23637;&#20013;&#24515;&#20110;&#37117;&#20998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乡明细"/>
      <sheetName val="汇总表"/>
      <sheetName val="区划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乡明细"/>
      <sheetName val="汇总表"/>
      <sheetName val="区划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ange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4" sqref="G4"/>
    </sheetView>
  </sheetViews>
  <sheetFormatPr defaultColWidth="9" defaultRowHeight="13.5" outlineLevelCol="4"/>
  <cols>
    <col min="1" max="1" width="9" style="171"/>
    <col min="2" max="2" width="25.3833333333333" style="171" customWidth="1"/>
    <col min="3" max="3" width="11.75" style="171" customWidth="1"/>
    <col min="4" max="4" width="15.75" style="171" customWidth="1"/>
    <col min="5" max="5" width="21.25" style="171" customWidth="1"/>
  </cols>
  <sheetData>
    <row r="1" ht="37" customHeight="1" spans="1:5">
      <c r="A1" s="383" t="s">
        <v>0</v>
      </c>
      <c r="B1" s="383"/>
      <c r="C1" s="383"/>
      <c r="D1" s="383"/>
      <c r="E1" s="383"/>
    </row>
    <row r="2" s="379" customFormat="1" ht="40" customHeight="1" spans="1:5">
      <c r="A2" s="384" t="s">
        <v>1</v>
      </c>
      <c r="B2" s="384" t="s">
        <v>2</v>
      </c>
      <c r="C2" s="384" t="s">
        <v>3</v>
      </c>
      <c r="D2" s="384" t="s">
        <v>4</v>
      </c>
      <c r="E2" s="384" t="s">
        <v>5</v>
      </c>
    </row>
    <row r="3" s="380" customFormat="1" ht="33" customHeight="1" spans="1:5">
      <c r="A3" s="385" t="s">
        <v>6</v>
      </c>
      <c r="B3" s="385"/>
      <c r="C3" s="386">
        <f>SUM(C4,C8,C13:C17)</f>
        <v>133</v>
      </c>
      <c r="D3" s="385"/>
      <c r="E3" s="386">
        <f>E4+E8+E13+E17+E14+E15+E16</f>
        <v>38200</v>
      </c>
    </row>
    <row r="4" s="380" customFormat="1" ht="33" customHeight="1" spans="1:5">
      <c r="A4" s="387" t="s">
        <v>7</v>
      </c>
      <c r="B4" s="387"/>
      <c r="C4" s="386">
        <v>44</v>
      </c>
      <c r="D4" s="385">
        <f>路面!L4</f>
        <v>210.757</v>
      </c>
      <c r="E4" s="385">
        <f>路面!Q4</f>
        <v>27812</v>
      </c>
    </row>
    <row r="5" s="380" customFormat="1" ht="33" customHeight="1" spans="1:5">
      <c r="A5" s="388">
        <v>1</v>
      </c>
      <c r="B5" s="388" t="s">
        <v>8</v>
      </c>
      <c r="C5" s="388">
        <v>44</v>
      </c>
      <c r="D5" s="388">
        <f>路面!L5</f>
        <v>24.981</v>
      </c>
      <c r="E5" s="389">
        <f>路面!Q5</f>
        <v>10250</v>
      </c>
    </row>
    <row r="6" s="380" customFormat="1" ht="33" customHeight="1" spans="1:5">
      <c r="A6" s="388">
        <v>2</v>
      </c>
      <c r="B6" s="388" t="s">
        <v>9</v>
      </c>
      <c r="C6" s="388"/>
      <c r="D6" s="388">
        <f>路面!L6</f>
        <v>25.708</v>
      </c>
      <c r="E6" s="389">
        <f>路面!Q6</f>
        <v>4005</v>
      </c>
    </row>
    <row r="7" s="380" customFormat="1" ht="33" customHeight="1" spans="1:5">
      <c r="A7" s="388">
        <v>3</v>
      </c>
      <c r="B7" s="388" t="s">
        <v>10</v>
      </c>
      <c r="C7" s="388"/>
      <c r="D7" s="388">
        <f>路面!L7</f>
        <v>160.068</v>
      </c>
      <c r="E7" s="389">
        <f>路面!Q7</f>
        <v>13557</v>
      </c>
    </row>
    <row r="8" s="380" customFormat="1" ht="33" customHeight="1" spans="1:5">
      <c r="A8" s="387" t="s">
        <v>11</v>
      </c>
      <c r="B8" s="387"/>
      <c r="C8" s="385">
        <f>SUM(C9:C12)</f>
        <v>25</v>
      </c>
      <c r="D8" s="385">
        <f>SUM(D9:D12)</f>
        <v>25</v>
      </c>
      <c r="E8" s="385">
        <f>SUM(E9:E12)</f>
        <v>2217</v>
      </c>
    </row>
    <row r="9" s="381" customFormat="1" ht="33" customHeight="1" spans="1:5">
      <c r="A9" s="388">
        <v>1</v>
      </c>
      <c r="B9" s="388" t="s">
        <v>12</v>
      </c>
      <c r="C9" s="388">
        <v>4</v>
      </c>
      <c r="D9" s="388">
        <v>4</v>
      </c>
      <c r="E9" s="389">
        <f>桥梁!T5</f>
        <v>1204</v>
      </c>
    </row>
    <row r="10" s="381" customFormat="1" ht="33" customHeight="1" spans="1:5">
      <c r="A10" s="388">
        <v>2</v>
      </c>
      <c r="B10" s="388" t="s">
        <v>13</v>
      </c>
      <c r="C10" s="388">
        <v>3</v>
      </c>
      <c r="D10" s="388">
        <v>3</v>
      </c>
      <c r="E10" s="389">
        <f>桥梁!T10</f>
        <v>90</v>
      </c>
    </row>
    <row r="11" s="381" customFormat="1" ht="33" customHeight="1" spans="1:5">
      <c r="A11" s="388">
        <v>3</v>
      </c>
      <c r="B11" s="388" t="s">
        <v>14</v>
      </c>
      <c r="C11" s="388">
        <v>16</v>
      </c>
      <c r="D11" s="388">
        <v>16</v>
      </c>
      <c r="E11" s="389">
        <f>桥梁!T14</f>
        <v>853</v>
      </c>
    </row>
    <row r="12" s="381" customFormat="1" ht="33" customHeight="1" spans="1:5">
      <c r="A12" s="388">
        <v>4</v>
      </c>
      <c r="B12" s="388" t="s">
        <v>15</v>
      </c>
      <c r="C12" s="388">
        <v>2</v>
      </c>
      <c r="D12" s="388">
        <v>2</v>
      </c>
      <c r="E12" s="389">
        <f>隧道!W4</f>
        <v>70</v>
      </c>
    </row>
    <row r="13" s="382" customFormat="1" ht="33" customHeight="1" spans="1:5">
      <c r="A13" s="387" t="s">
        <v>16</v>
      </c>
      <c r="B13" s="387"/>
      <c r="C13" s="385">
        <v>16</v>
      </c>
      <c r="D13" s="385">
        <f>安全提升!I4</f>
        <v>98.1389999999997</v>
      </c>
      <c r="E13" s="386">
        <f>安全提升!J4</f>
        <v>2713</v>
      </c>
    </row>
    <row r="14" s="382" customFormat="1" ht="33" customHeight="1" spans="1:5">
      <c r="A14" s="387" t="s">
        <v>17</v>
      </c>
      <c r="B14" s="387"/>
      <c r="C14" s="385">
        <v>13</v>
      </c>
      <c r="D14" s="385">
        <f>灾害防治!L3</f>
        <v>1.93800000000015</v>
      </c>
      <c r="E14" s="386">
        <f>灾害防治!M3</f>
        <v>3172</v>
      </c>
    </row>
    <row r="15" s="382" customFormat="1" ht="33" customHeight="1" spans="1:5">
      <c r="A15" s="387" t="s">
        <v>18</v>
      </c>
      <c r="B15" s="387"/>
      <c r="C15" s="385">
        <v>17</v>
      </c>
      <c r="D15" s="385">
        <f>灾毁恢复重建!G3</f>
        <v>2.772</v>
      </c>
      <c r="E15" s="386">
        <f>灾毁恢复重建!H3</f>
        <v>1326</v>
      </c>
    </row>
    <row r="16" s="382" customFormat="1" ht="33" customHeight="1" spans="1:5">
      <c r="A16" s="387" t="s">
        <v>19</v>
      </c>
      <c r="B16" s="387"/>
      <c r="C16" s="385">
        <v>2</v>
      </c>
      <c r="D16" s="385" t="s">
        <v>20</v>
      </c>
      <c r="E16" s="386">
        <f>服务设施!T3</f>
        <v>768</v>
      </c>
    </row>
    <row r="17" s="382" customFormat="1" ht="33" customHeight="1" spans="1:5">
      <c r="A17" s="387" t="s">
        <v>21</v>
      </c>
      <c r="B17" s="387"/>
      <c r="C17" s="385">
        <v>16</v>
      </c>
      <c r="D17" s="385">
        <f>降速专项!I4</f>
        <v>117.182</v>
      </c>
      <c r="E17" s="386">
        <f>降速专项!L4</f>
        <v>192</v>
      </c>
    </row>
    <row r="18" ht="33" customHeight="1"/>
  </sheetData>
  <mergeCells count="10">
    <mergeCell ref="A1:E1"/>
    <mergeCell ref="A3:B3"/>
    <mergeCell ref="A4:B4"/>
    <mergeCell ref="A8:B8"/>
    <mergeCell ref="A13:B13"/>
    <mergeCell ref="A14:B14"/>
    <mergeCell ref="A15:B15"/>
    <mergeCell ref="A16:B16"/>
    <mergeCell ref="A17:B17"/>
    <mergeCell ref="C5:C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98"/>
  <sheetViews>
    <sheetView view="pageBreakPreview" zoomScaleNormal="100" topLeftCell="Q33" workbookViewId="0">
      <selection activeCell="AC44" sqref="AC44"/>
    </sheetView>
  </sheetViews>
  <sheetFormatPr defaultColWidth="9" defaultRowHeight="13.5"/>
  <cols>
    <col min="1" max="1" width="12.75" style="241" hidden="1" customWidth="1"/>
    <col min="2" max="2" width="26.3833333333333" style="241" hidden="1" customWidth="1"/>
    <col min="3" max="3" width="17.25" style="241" hidden="1" customWidth="1"/>
    <col min="4" max="4" width="7.25" style="241" hidden="1" customWidth="1"/>
    <col min="5" max="5" width="5" style="171" customWidth="1"/>
    <col min="6" max="6" width="7.88333333333333" style="171" customWidth="1"/>
    <col min="7" max="7" width="4.88333333333333" style="171" customWidth="1"/>
    <col min="8" max="8" width="21" style="242" customWidth="1"/>
    <col min="9" max="10" width="9.25" style="171" customWidth="1"/>
    <col min="11" max="11" width="10.3833333333333" style="242" customWidth="1"/>
    <col min="12" max="12" width="11.8833333333333" style="171" customWidth="1"/>
    <col min="13" max="13" width="4.63333333333333" style="171" customWidth="1"/>
    <col min="14" max="14" width="7.88333333333333" style="171" customWidth="1"/>
    <col min="15" max="15" width="8.25" style="171" customWidth="1"/>
    <col min="16" max="16" width="22" style="242" customWidth="1"/>
    <col min="17" max="17" width="9.75" style="173" customWidth="1"/>
    <col min="18" max="18" width="10.1333333333333" style="173" customWidth="1"/>
    <col min="19" max="19" width="9.75" style="171" customWidth="1"/>
    <col min="20" max="20" width="37.5" style="171" customWidth="1"/>
    <col min="21" max="21" width="10.3833333333333" style="171" customWidth="1"/>
    <col min="22" max="24" width="7.63333333333333" style="171" customWidth="1"/>
    <col min="25" max="25" width="9.38333333333333" style="171" customWidth="1"/>
    <col min="26" max="26" width="10.1333333333333" style="171" customWidth="1"/>
    <col min="27" max="27" width="15.25" style="171" customWidth="1"/>
    <col min="28" max="28" width="12.5" style="171" customWidth="1"/>
    <col min="29" max="29" width="9.38333333333333" style="171" customWidth="1"/>
    <col min="30" max="30" width="17.8833333333333" style="171" customWidth="1"/>
    <col min="31" max="16384" width="9" style="171"/>
  </cols>
  <sheetData>
    <row r="1" ht="34.5" customHeight="1" spans="1:30">
      <c r="A1" s="243" t="s">
        <v>22</v>
      </c>
      <c r="B1" s="243"/>
      <c r="C1" s="243"/>
      <c r="D1" s="243"/>
      <c r="E1" s="149" t="s">
        <v>23</v>
      </c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309"/>
      <c r="R1" s="30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</row>
    <row r="2" s="240" customFormat="1" ht="30" customHeight="1" spans="1:30">
      <c r="A2" s="244" t="s">
        <v>24</v>
      </c>
      <c r="B2" s="245" t="s">
        <v>25</v>
      </c>
      <c r="C2" s="246" t="s">
        <v>26</v>
      </c>
      <c r="D2" s="247"/>
      <c r="E2" s="248" t="s">
        <v>1</v>
      </c>
      <c r="F2" s="249" t="s">
        <v>27</v>
      </c>
      <c r="G2" s="249" t="s">
        <v>28</v>
      </c>
      <c r="H2" s="249" t="s">
        <v>29</v>
      </c>
      <c r="I2" s="294" t="s">
        <v>30</v>
      </c>
      <c r="J2" s="294"/>
      <c r="K2" s="294" t="s">
        <v>31</v>
      </c>
      <c r="L2" s="294" t="s">
        <v>32</v>
      </c>
      <c r="M2" s="249" t="s">
        <v>33</v>
      </c>
      <c r="N2" s="295" t="s">
        <v>34</v>
      </c>
      <c r="O2" s="249" t="s">
        <v>35</v>
      </c>
      <c r="P2" s="249" t="s">
        <v>36</v>
      </c>
      <c r="Q2" s="310" t="s">
        <v>37</v>
      </c>
      <c r="R2" s="310" t="s">
        <v>38</v>
      </c>
      <c r="S2" s="249" t="s">
        <v>39</v>
      </c>
      <c r="T2" s="249" t="s">
        <v>40</v>
      </c>
      <c r="U2" s="249" t="s">
        <v>41</v>
      </c>
      <c r="V2" s="249" t="s">
        <v>42</v>
      </c>
      <c r="W2" s="249"/>
      <c r="X2" s="249"/>
      <c r="Y2" s="249" t="s">
        <v>43</v>
      </c>
      <c r="Z2" s="249" t="s">
        <v>44</v>
      </c>
      <c r="AA2" s="249" t="s">
        <v>45</v>
      </c>
      <c r="AB2" s="249" t="s">
        <v>46</v>
      </c>
      <c r="AC2" s="249" t="s">
        <v>47</v>
      </c>
      <c r="AD2" s="323" t="s">
        <v>48</v>
      </c>
    </row>
    <row r="3" s="240" customFormat="1" ht="30" customHeight="1" spans="1:30">
      <c r="A3" s="250"/>
      <c r="B3" s="251"/>
      <c r="C3" s="252"/>
      <c r="D3" s="253"/>
      <c r="E3" s="254"/>
      <c r="F3" s="9"/>
      <c r="G3" s="9"/>
      <c r="H3" s="9"/>
      <c r="I3" s="296" t="s">
        <v>49</v>
      </c>
      <c r="J3" s="296" t="s">
        <v>50</v>
      </c>
      <c r="K3" s="296"/>
      <c r="L3" s="296"/>
      <c r="M3" s="9"/>
      <c r="N3" s="235"/>
      <c r="O3" s="9"/>
      <c r="P3" s="9"/>
      <c r="Q3" s="160"/>
      <c r="R3" s="160"/>
      <c r="S3" s="9"/>
      <c r="T3" s="9"/>
      <c r="U3" s="9"/>
      <c r="V3" s="9" t="s">
        <v>51</v>
      </c>
      <c r="W3" s="9" t="s">
        <v>52</v>
      </c>
      <c r="X3" s="9" t="s">
        <v>53</v>
      </c>
      <c r="Y3" s="9"/>
      <c r="Z3" s="9"/>
      <c r="AA3" s="9"/>
      <c r="AB3" s="9"/>
      <c r="AC3" s="9"/>
      <c r="AD3" s="324"/>
    </row>
    <row r="4" s="6" customFormat="1" ht="24" customHeight="1" spans="1:30">
      <c r="A4" s="255"/>
      <c r="B4" s="203"/>
      <c r="C4" s="256"/>
      <c r="D4" s="256"/>
      <c r="E4" s="257" t="s">
        <v>54</v>
      </c>
      <c r="F4" s="258"/>
      <c r="G4" s="258"/>
      <c r="H4" s="258"/>
      <c r="I4" s="297" t="s">
        <v>55</v>
      </c>
      <c r="J4" s="297"/>
      <c r="K4" s="297"/>
      <c r="L4" s="297">
        <f>L5+L6+L7</f>
        <v>210.757</v>
      </c>
      <c r="M4" s="258"/>
      <c r="N4" s="298"/>
      <c r="O4" s="258"/>
      <c r="P4" s="258"/>
      <c r="Q4" s="311">
        <f>Q5+Q6+Q7</f>
        <v>27812</v>
      </c>
      <c r="R4" s="311">
        <f>R5+R6+R7</f>
        <v>24951</v>
      </c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325"/>
    </row>
    <row r="5" s="6" customFormat="1" ht="24" customHeight="1" spans="1:30">
      <c r="A5" s="255"/>
      <c r="B5" s="203"/>
      <c r="C5" s="256"/>
      <c r="D5" s="256"/>
      <c r="E5" s="257"/>
      <c r="F5" s="258"/>
      <c r="G5" s="258"/>
      <c r="H5" s="258"/>
      <c r="I5" s="297" t="s">
        <v>8</v>
      </c>
      <c r="J5" s="297"/>
      <c r="K5" s="297"/>
      <c r="L5" s="297">
        <f>L9+L76</f>
        <v>24.981</v>
      </c>
      <c r="M5" s="258"/>
      <c r="N5" s="298"/>
      <c r="O5" s="258"/>
      <c r="P5" s="258"/>
      <c r="Q5" s="311">
        <f>Q9+Q76</f>
        <v>10250</v>
      </c>
      <c r="R5" s="311">
        <f>R9+R76</f>
        <v>9225</v>
      </c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325"/>
    </row>
    <row r="6" s="6" customFormat="1" ht="24" customHeight="1" spans="1:30">
      <c r="A6" s="255"/>
      <c r="B6" s="203"/>
      <c r="C6" s="256"/>
      <c r="D6" s="256"/>
      <c r="E6" s="257"/>
      <c r="F6" s="258"/>
      <c r="G6" s="258"/>
      <c r="H6" s="258"/>
      <c r="I6" s="297" t="s">
        <v>9</v>
      </c>
      <c r="J6" s="297"/>
      <c r="K6" s="297"/>
      <c r="L6" s="297">
        <f>L10+L77</f>
        <v>25.708</v>
      </c>
      <c r="M6" s="258"/>
      <c r="N6" s="298"/>
      <c r="O6" s="258"/>
      <c r="P6" s="258"/>
      <c r="Q6" s="311">
        <f>Q10+Q77</f>
        <v>4005</v>
      </c>
      <c r="R6" s="311">
        <f>R10+R77</f>
        <v>3605</v>
      </c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325"/>
    </row>
    <row r="7" s="6" customFormat="1" ht="24" customHeight="1" spans="1:30">
      <c r="A7" s="255"/>
      <c r="B7" s="203"/>
      <c r="C7" s="256"/>
      <c r="D7" s="256"/>
      <c r="E7" s="259"/>
      <c r="F7" s="260"/>
      <c r="G7" s="260"/>
      <c r="H7" s="260"/>
      <c r="I7" s="299" t="s">
        <v>10</v>
      </c>
      <c r="J7" s="299"/>
      <c r="K7" s="299"/>
      <c r="L7" s="299">
        <f>L11+L78</f>
        <v>160.068</v>
      </c>
      <c r="M7" s="260"/>
      <c r="N7" s="300"/>
      <c r="O7" s="260"/>
      <c r="P7" s="260"/>
      <c r="Q7" s="312">
        <f>Q11+Q78</f>
        <v>13557</v>
      </c>
      <c r="R7" s="312">
        <f>R11+R78</f>
        <v>12121</v>
      </c>
      <c r="S7" s="260"/>
      <c r="T7" s="260"/>
      <c r="U7" s="260" t="s">
        <v>56</v>
      </c>
      <c r="V7" s="260"/>
      <c r="W7" s="260"/>
      <c r="X7" s="260"/>
      <c r="Y7" s="260"/>
      <c r="Z7" s="260"/>
      <c r="AA7" s="260"/>
      <c r="AB7" s="260"/>
      <c r="AC7" s="260"/>
      <c r="AD7" s="326">
        <f>L7/L4</f>
        <v>0.7595</v>
      </c>
    </row>
    <row r="8" s="6" customFormat="1" ht="24" customHeight="1" spans="1:30">
      <c r="A8" s="261"/>
      <c r="B8" s="262"/>
      <c r="C8" s="263"/>
      <c r="D8" s="263"/>
      <c r="E8" s="264" t="s">
        <v>57</v>
      </c>
      <c r="F8" s="265"/>
      <c r="G8" s="265"/>
      <c r="H8" s="265"/>
      <c r="I8" s="301" t="s">
        <v>55</v>
      </c>
      <c r="J8" s="301"/>
      <c r="K8" s="301"/>
      <c r="L8" s="301">
        <f>L9+L10+L11</f>
        <v>165.932</v>
      </c>
      <c r="M8" s="265"/>
      <c r="N8" s="302"/>
      <c r="O8" s="265"/>
      <c r="P8" s="265"/>
      <c r="Q8" s="313">
        <f>Q9+Q10+Q11</f>
        <v>17486</v>
      </c>
      <c r="R8" s="313">
        <f>R9+R10+R11</f>
        <v>15656</v>
      </c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327"/>
    </row>
    <row r="9" s="6" customFormat="1" ht="24" customHeight="1" spans="1:30">
      <c r="A9" s="255"/>
      <c r="B9" s="203"/>
      <c r="C9" s="256"/>
      <c r="D9" s="256"/>
      <c r="E9" s="266"/>
      <c r="F9" s="267"/>
      <c r="G9" s="267"/>
      <c r="H9" s="267"/>
      <c r="I9" s="303" t="s">
        <v>8</v>
      </c>
      <c r="J9" s="303"/>
      <c r="K9" s="303"/>
      <c r="L9" s="303">
        <f>SUMIF(S12:S74,"大修",L12:L74)</f>
        <v>13.38</v>
      </c>
      <c r="M9" s="267"/>
      <c r="N9" s="304"/>
      <c r="O9" s="267"/>
      <c r="P9" s="267"/>
      <c r="Q9" s="314">
        <f>SUMIF(S12:S74,"大修",Q12:Q74)</f>
        <v>4493</v>
      </c>
      <c r="R9" s="314">
        <f>SUMIF(S12:S74,"大修",R12:R74)</f>
        <v>4043</v>
      </c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328"/>
    </row>
    <row r="10" s="6" customFormat="1" ht="24" customHeight="1" spans="1:30">
      <c r="A10" s="255"/>
      <c r="B10" s="203"/>
      <c r="C10" s="256"/>
      <c r="D10" s="256"/>
      <c r="E10" s="266"/>
      <c r="F10" s="267"/>
      <c r="G10" s="267"/>
      <c r="H10" s="267"/>
      <c r="I10" s="303" t="s">
        <v>9</v>
      </c>
      <c r="J10" s="303"/>
      <c r="K10" s="303"/>
      <c r="L10" s="303">
        <f>SUMIF(S12:S74,"中修",L12:L74)</f>
        <v>1.912</v>
      </c>
      <c r="M10" s="267"/>
      <c r="N10" s="304"/>
      <c r="O10" s="267"/>
      <c r="P10" s="267"/>
      <c r="Q10" s="314">
        <f>SUMIF(S12:S74,"中修",Q12:Q74)</f>
        <v>229</v>
      </c>
      <c r="R10" s="314">
        <f>SUMIF(S12:S74,"中修",R12:R74)</f>
        <v>206</v>
      </c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328"/>
    </row>
    <row r="11" s="6" customFormat="1" ht="24" customHeight="1" spans="1:30">
      <c r="A11" s="255"/>
      <c r="B11" s="203"/>
      <c r="C11" s="256"/>
      <c r="D11" s="256"/>
      <c r="E11" s="266"/>
      <c r="F11" s="267"/>
      <c r="G11" s="267"/>
      <c r="H11" s="267"/>
      <c r="I11" s="303" t="s">
        <v>10</v>
      </c>
      <c r="J11" s="303"/>
      <c r="K11" s="303"/>
      <c r="L11" s="303">
        <f>SUMIF(S12:S74,"预防性",L12:L74)</f>
        <v>150.64</v>
      </c>
      <c r="M11" s="267"/>
      <c r="N11" s="304"/>
      <c r="O11" s="267"/>
      <c r="P11" s="267"/>
      <c r="Q11" s="314">
        <f>SUMIF(S12:S74,"预防性",Q12:Q74)</f>
        <v>12764</v>
      </c>
      <c r="R11" s="314">
        <f>SUMIF(S12:S74,"预防性",R12:R74)</f>
        <v>11407</v>
      </c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329">
        <f>L11/L8</f>
        <v>0.91</v>
      </c>
    </row>
    <row r="12" s="7" customFormat="1" ht="33" customHeight="1" spans="1:30">
      <c r="A12" s="268" t="s">
        <v>58</v>
      </c>
      <c r="B12" s="269" t="s">
        <v>59</v>
      </c>
      <c r="C12" s="269" t="s">
        <v>60</v>
      </c>
      <c r="D12" s="270" t="s">
        <v>61</v>
      </c>
      <c r="E12" s="271">
        <v>7</v>
      </c>
      <c r="F12" s="16" t="s">
        <v>62</v>
      </c>
      <c r="G12" s="16" t="s">
        <v>63</v>
      </c>
      <c r="H12" s="39" t="s">
        <v>64</v>
      </c>
      <c r="I12" s="16">
        <v>571.6</v>
      </c>
      <c r="J12" s="16">
        <v>574.44</v>
      </c>
      <c r="K12" s="16" t="s">
        <v>65</v>
      </c>
      <c r="L12" s="16">
        <f>J12-I12</f>
        <v>2.84000000000003</v>
      </c>
      <c r="M12" s="16" t="s">
        <v>66</v>
      </c>
      <c r="N12" s="16">
        <v>9</v>
      </c>
      <c r="O12" s="16" t="s">
        <v>67</v>
      </c>
      <c r="P12" s="16" t="s">
        <v>68</v>
      </c>
      <c r="Q12" s="146">
        <f>85*2.84</f>
        <v>241</v>
      </c>
      <c r="R12" s="146">
        <f>Q12*0.9</f>
        <v>217</v>
      </c>
      <c r="S12" s="16" t="s">
        <v>10</v>
      </c>
      <c r="T12" s="96" t="s">
        <v>69</v>
      </c>
      <c r="U12" s="16" t="s">
        <v>70</v>
      </c>
      <c r="V12" s="39">
        <v>84.34</v>
      </c>
      <c r="W12" s="39">
        <v>82.75</v>
      </c>
      <c r="X12" s="39">
        <v>81.46</v>
      </c>
      <c r="Y12" s="16">
        <v>9186</v>
      </c>
      <c r="Z12" s="16">
        <v>4826</v>
      </c>
      <c r="AA12" s="16" t="s">
        <v>71</v>
      </c>
      <c r="AB12" s="39" t="s">
        <v>72</v>
      </c>
      <c r="AC12" s="16" t="s">
        <v>73</v>
      </c>
      <c r="AD12" s="330"/>
    </row>
    <row r="13" s="7" customFormat="1" ht="48" customHeight="1" spans="1:30">
      <c r="A13" s="268" t="s">
        <v>58</v>
      </c>
      <c r="B13" s="269" t="s">
        <v>74</v>
      </c>
      <c r="C13" s="272" t="s">
        <v>60</v>
      </c>
      <c r="D13" s="273"/>
      <c r="E13" s="271">
        <v>8</v>
      </c>
      <c r="F13" s="16" t="s">
        <v>75</v>
      </c>
      <c r="G13" s="16" t="s">
        <v>63</v>
      </c>
      <c r="H13" s="16" t="s">
        <v>76</v>
      </c>
      <c r="I13" s="16">
        <v>550.423</v>
      </c>
      <c r="J13" s="16">
        <v>551</v>
      </c>
      <c r="K13" s="16" t="s">
        <v>77</v>
      </c>
      <c r="L13" s="16">
        <f>J13-I13</f>
        <v>0.576999999999998</v>
      </c>
      <c r="M13" s="16" t="s">
        <v>66</v>
      </c>
      <c r="N13" s="16">
        <v>9</v>
      </c>
      <c r="O13" s="16" t="s">
        <v>67</v>
      </c>
      <c r="P13" s="16" t="s">
        <v>78</v>
      </c>
      <c r="Q13" s="146">
        <f t="shared" ref="Q13:Q15" si="0">L13*380</f>
        <v>219</v>
      </c>
      <c r="R13" s="146">
        <f>Q13*0.9</f>
        <v>197</v>
      </c>
      <c r="S13" s="16" t="s">
        <v>8</v>
      </c>
      <c r="T13" s="16" t="s">
        <v>79</v>
      </c>
      <c r="U13" s="16" t="s">
        <v>80</v>
      </c>
      <c r="V13" s="16">
        <v>90</v>
      </c>
      <c r="W13" s="16">
        <v>89</v>
      </c>
      <c r="X13" s="16">
        <v>94</v>
      </c>
      <c r="Y13" s="16">
        <v>8356</v>
      </c>
      <c r="Z13" s="16">
        <v>1307</v>
      </c>
      <c r="AA13" s="16" t="s">
        <v>81</v>
      </c>
      <c r="AB13" s="16" t="s">
        <v>82</v>
      </c>
      <c r="AC13" s="16" t="s">
        <v>73</v>
      </c>
      <c r="AD13" s="330"/>
    </row>
    <row r="14" s="7" customFormat="1" ht="42.95" customHeight="1" spans="1:30">
      <c r="A14" s="268" t="s">
        <v>58</v>
      </c>
      <c r="B14" s="269" t="s">
        <v>83</v>
      </c>
      <c r="C14" s="274" t="s">
        <v>60</v>
      </c>
      <c r="D14" s="273"/>
      <c r="E14" s="271">
        <v>4</v>
      </c>
      <c r="F14" s="16" t="s">
        <v>75</v>
      </c>
      <c r="G14" s="16" t="s">
        <v>63</v>
      </c>
      <c r="H14" s="16"/>
      <c r="I14" s="24">
        <v>559</v>
      </c>
      <c r="J14" s="24">
        <v>561</v>
      </c>
      <c r="K14" s="16" t="s">
        <v>77</v>
      </c>
      <c r="L14" s="16">
        <f>J14-I14</f>
        <v>2</v>
      </c>
      <c r="M14" s="16" t="s">
        <v>66</v>
      </c>
      <c r="N14" s="16">
        <v>9</v>
      </c>
      <c r="O14" s="16" t="s">
        <v>67</v>
      </c>
      <c r="P14" s="16" t="s">
        <v>68</v>
      </c>
      <c r="Q14" s="146">
        <f t="shared" si="0"/>
        <v>760</v>
      </c>
      <c r="R14" s="146">
        <f t="shared" ref="R14:R15" si="1">Q14*0.9</f>
        <v>684</v>
      </c>
      <c r="S14" s="16" t="s">
        <v>8</v>
      </c>
      <c r="T14" s="16" t="s">
        <v>84</v>
      </c>
      <c r="U14" s="16" t="s">
        <v>80</v>
      </c>
      <c r="V14" s="16">
        <v>89</v>
      </c>
      <c r="W14" s="16">
        <v>84</v>
      </c>
      <c r="X14" s="16">
        <v>96</v>
      </c>
      <c r="Y14" s="16">
        <v>8356</v>
      </c>
      <c r="Z14" s="16">
        <v>1307</v>
      </c>
      <c r="AA14" s="16" t="s">
        <v>85</v>
      </c>
      <c r="AB14" s="16" t="s">
        <v>86</v>
      </c>
      <c r="AC14" s="16" t="s">
        <v>73</v>
      </c>
      <c r="AD14" s="330"/>
    </row>
    <row r="15" s="7" customFormat="1" ht="42.95" customHeight="1" spans="1:30">
      <c r="A15" s="268" t="s">
        <v>58</v>
      </c>
      <c r="B15" s="269" t="s">
        <v>87</v>
      </c>
      <c r="C15" s="272" t="s">
        <v>60</v>
      </c>
      <c r="D15" s="273"/>
      <c r="E15" s="271">
        <v>5</v>
      </c>
      <c r="F15" s="16" t="s">
        <v>75</v>
      </c>
      <c r="G15" s="16" t="s">
        <v>63</v>
      </c>
      <c r="H15" s="16"/>
      <c r="I15" s="24">
        <v>563</v>
      </c>
      <c r="J15" s="24">
        <v>565</v>
      </c>
      <c r="K15" s="16" t="s">
        <v>77</v>
      </c>
      <c r="L15" s="16">
        <f>J15-I15</f>
        <v>2</v>
      </c>
      <c r="M15" s="16" t="s">
        <v>66</v>
      </c>
      <c r="N15" s="16">
        <v>9</v>
      </c>
      <c r="O15" s="16" t="s">
        <v>67</v>
      </c>
      <c r="P15" s="16" t="s">
        <v>68</v>
      </c>
      <c r="Q15" s="146">
        <f t="shared" si="0"/>
        <v>760</v>
      </c>
      <c r="R15" s="146">
        <f t="shared" si="1"/>
        <v>684</v>
      </c>
      <c r="S15" s="16" t="s">
        <v>8</v>
      </c>
      <c r="T15" s="16" t="s">
        <v>84</v>
      </c>
      <c r="U15" s="16" t="s">
        <v>80</v>
      </c>
      <c r="V15" s="16">
        <v>88</v>
      </c>
      <c r="W15" s="16">
        <v>86</v>
      </c>
      <c r="X15" s="16">
        <v>93</v>
      </c>
      <c r="Y15" s="16">
        <v>8356</v>
      </c>
      <c r="Z15" s="16">
        <v>1307</v>
      </c>
      <c r="AA15" s="16" t="s">
        <v>88</v>
      </c>
      <c r="AB15" s="16" t="s">
        <v>86</v>
      </c>
      <c r="AC15" s="16" t="s">
        <v>73</v>
      </c>
      <c r="AD15" s="330"/>
    </row>
    <row r="16" s="7" customFormat="1" ht="33" customHeight="1" spans="1:30">
      <c r="A16" s="268" t="s">
        <v>58</v>
      </c>
      <c r="B16" s="269" t="s">
        <v>89</v>
      </c>
      <c r="C16" s="274" t="s">
        <v>60</v>
      </c>
      <c r="D16" s="273"/>
      <c r="E16" s="271">
        <v>9</v>
      </c>
      <c r="F16" s="16" t="s">
        <v>75</v>
      </c>
      <c r="G16" s="16" t="s">
        <v>63</v>
      </c>
      <c r="H16" s="16" t="s">
        <v>90</v>
      </c>
      <c r="I16" s="24">
        <v>503</v>
      </c>
      <c r="J16" s="24">
        <v>505.773</v>
      </c>
      <c r="K16" s="16" t="s">
        <v>91</v>
      </c>
      <c r="L16" s="16">
        <f>J16-I16</f>
        <v>2.77300000000002</v>
      </c>
      <c r="M16" s="16" t="s">
        <v>66</v>
      </c>
      <c r="N16" s="16">
        <v>9</v>
      </c>
      <c r="O16" s="16" t="s">
        <v>67</v>
      </c>
      <c r="P16" s="16" t="s">
        <v>92</v>
      </c>
      <c r="Q16" s="146">
        <f>L16*85</f>
        <v>236</v>
      </c>
      <c r="R16" s="146">
        <f t="shared" ref="R16" si="2">Q16*0.87</f>
        <v>205</v>
      </c>
      <c r="S16" s="16" t="s">
        <v>10</v>
      </c>
      <c r="T16" s="96" t="s">
        <v>93</v>
      </c>
      <c r="U16" s="16" t="s">
        <v>80</v>
      </c>
      <c r="V16" s="16">
        <v>89</v>
      </c>
      <c r="W16" s="16">
        <v>86</v>
      </c>
      <c r="X16" s="16">
        <v>93</v>
      </c>
      <c r="Y16" s="16">
        <v>5772</v>
      </c>
      <c r="Z16" s="16">
        <v>713</v>
      </c>
      <c r="AA16" s="16" t="s">
        <v>94</v>
      </c>
      <c r="AB16" s="16" t="s">
        <v>95</v>
      </c>
      <c r="AC16" s="16" t="s">
        <v>73</v>
      </c>
      <c r="AD16" s="330"/>
    </row>
    <row r="17" s="7" customFormat="1" ht="48" spans="1:30">
      <c r="A17" s="268" t="s">
        <v>58</v>
      </c>
      <c r="B17" s="269" t="s">
        <v>96</v>
      </c>
      <c r="C17" s="275" t="s">
        <v>60</v>
      </c>
      <c r="D17" s="273"/>
      <c r="E17" s="271">
        <v>10</v>
      </c>
      <c r="F17" s="16" t="s">
        <v>97</v>
      </c>
      <c r="G17" s="16" t="s">
        <v>98</v>
      </c>
      <c r="H17" s="16" t="s">
        <v>99</v>
      </c>
      <c r="I17" s="24">
        <v>901.3</v>
      </c>
      <c r="J17" s="24">
        <v>903.3</v>
      </c>
      <c r="K17" s="16" t="s">
        <v>100</v>
      </c>
      <c r="L17" s="16">
        <f t="shared" ref="L17:L35" si="3">J17-I17</f>
        <v>2</v>
      </c>
      <c r="M17" s="16" t="s">
        <v>66</v>
      </c>
      <c r="N17" s="16">
        <v>12</v>
      </c>
      <c r="O17" s="16" t="s">
        <v>67</v>
      </c>
      <c r="P17" s="16" t="s">
        <v>101</v>
      </c>
      <c r="Q17" s="146">
        <f>L17*90</f>
        <v>180</v>
      </c>
      <c r="R17" s="146">
        <f>Q17*0.9</f>
        <v>162</v>
      </c>
      <c r="S17" s="16" t="s">
        <v>10</v>
      </c>
      <c r="T17" s="16" t="s">
        <v>102</v>
      </c>
      <c r="U17" s="16" t="s">
        <v>103</v>
      </c>
      <c r="V17" s="16">
        <v>92.98</v>
      </c>
      <c r="W17" s="16">
        <v>92.33</v>
      </c>
      <c r="X17" s="16">
        <v>93.95</v>
      </c>
      <c r="Y17" s="16">
        <v>20286</v>
      </c>
      <c r="Z17" s="16">
        <v>4127</v>
      </c>
      <c r="AA17" s="16" t="s">
        <v>104</v>
      </c>
      <c r="AB17" s="16" t="s">
        <v>105</v>
      </c>
      <c r="AC17" s="16" t="s">
        <v>73</v>
      </c>
      <c r="AD17" s="330"/>
    </row>
    <row r="18" s="7" customFormat="1" ht="24" spans="1:30">
      <c r="A18" s="268" t="s">
        <v>58</v>
      </c>
      <c r="B18" s="269" t="s">
        <v>106</v>
      </c>
      <c r="C18" s="275" t="s">
        <v>60</v>
      </c>
      <c r="D18" s="276"/>
      <c r="E18" s="271">
        <v>12</v>
      </c>
      <c r="F18" s="16" t="s">
        <v>97</v>
      </c>
      <c r="G18" s="16" t="s">
        <v>98</v>
      </c>
      <c r="H18" s="16"/>
      <c r="I18" s="24">
        <v>909.764</v>
      </c>
      <c r="J18" s="24">
        <v>911</v>
      </c>
      <c r="K18" s="16" t="s">
        <v>107</v>
      </c>
      <c r="L18" s="16">
        <f t="shared" si="3"/>
        <v>1.23599999999999</v>
      </c>
      <c r="M18" s="16" t="s">
        <v>66</v>
      </c>
      <c r="N18" s="16">
        <v>12</v>
      </c>
      <c r="O18" s="16" t="s">
        <v>67</v>
      </c>
      <c r="P18" s="16"/>
      <c r="Q18" s="146">
        <f>L18*90</f>
        <v>111</v>
      </c>
      <c r="R18" s="146">
        <f>Q18*0.9</f>
        <v>100</v>
      </c>
      <c r="S18" s="16" t="s">
        <v>10</v>
      </c>
      <c r="T18" s="16"/>
      <c r="U18" s="16" t="s">
        <v>103</v>
      </c>
      <c r="V18" s="16">
        <v>93.39</v>
      </c>
      <c r="W18" s="16">
        <v>92.63</v>
      </c>
      <c r="X18" s="16">
        <v>94.52</v>
      </c>
      <c r="Y18" s="16">
        <v>14520</v>
      </c>
      <c r="Z18" s="16">
        <v>1686</v>
      </c>
      <c r="AA18" s="16" t="s">
        <v>104</v>
      </c>
      <c r="AB18" s="16"/>
      <c r="AC18" s="16" t="s">
        <v>73</v>
      </c>
      <c r="AD18" s="330"/>
    </row>
    <row r="19" s="7" customFormat="1" ht="24" spans="1:30">
      <c r="A19" s="268" t="s">
        <v>58</v>
      </c>
      <c r="B19" s="277" t="s">
        <v>108</v>
      </c>
      <c r="C19" s="277" t="s">
        <v>60</v>
      </c>
      <c r="D19" s="229"/>
      <c r="E19" s="271">
        <v>11</v>
      </c>
      <c r="F19" s="16" t="s">
        <v>97</v>
      </c>
      <c r="G19" s="16" t="s">
        <v>63</v>
      </c>
      <c r="H19" s="16" t="s">
        <v>109</v>
      </c>
      <c r="I19" s="24">
        <v>295.5</v>
      </c>
      <c r="J19" s="24">
        <v>297</v>
      </c>
      <c r="K19" s="16" t="s">
        <v>110</v>
      </c>
      <c r="L19" s="16">
        <f t="shared" si="3"/>
        <v>1.5</v>
      </c>
      <c r="M19" s="16" t="s">
        <v>66</v>
      </c>
      <c r="N19" s="16">
        <v>7</v>
      </c>
      <c r="O19" s="16" t="s">
        <v>67</v>
      </c>
      <c r="P19" s="16" t="s">
        <v>111</v>
      </c>
      <c r="Q19" s="146">
        <f>L19*75</f>
        <v>113</v>
      </c>
      <c r="R19" s="146">
        <f>Q19*0.9</f>
        <v>102</v>
      </c>
      <c r="S19" s="16" t="s">
        <v>10</v>
      </c>
      <c r="T19" s="16" t="s">
        <v>112</v>
      </c>
      <c r="U19" s="16" t="s">
        <v>103</v>
      </c>
      <c r="V19" s="92" t="s">
        <v>113</v>
      </c>
      <c r="W19" s="92" t="s">
        <v>114</v>
      </c>
      <c r="X19" s="92" t="s">
        <v>115</v>
      </c>
      <c r="Y19" s="16">
        <v>6022</v>
      </c>
      <c r="Z19" s="16">
        <v>400</v>
      </c>
      <c r="AA19" s="16" t="s">
        <v>116</v>
      </c>
      <c r="AB19" s="16" t="s">
        <v>117</v>
      </c>
      <c r="AC19" s="16" t="s">
        <v>73</v>
      </c>
      <c r="AD19" s="331"/>
    </row>
    <row r="20" s="7" customFormat="1" ht="24" spans="1:30">
      <c r="A20" s="268" t="s">
        <v>58</v>
      </c>
      <c r="B20" s="278"/>
      <c r="C20" s="277" t="s">
        <v>60</v>
      </c>
      <c r="D20" s="279"/>
      <c r="E20" s="271">
        <v>14</v>
      </c>
      <c r="F20" s="16" t="s">
        <v>97</v>
      </c>
      <c r="G20" s="16" t="s">
        <v>63</v>
      </c>
      <c r="H20" s="16"/>
      <c r="I20" s="24">
        <v>300</v>
      </c>
      <c r="J20" s="24">
        <v>301</v>
      </c>
      <c r="K20" s="16" t="s">
        <v>118</v>
      </c>
      <c r="L20" s="16">
        <f t="shared" si="3"/>
        <v>1</v>
      </c>
      <c r="M20" s="16" t="s">
        <v>66</v>
      </c>
      <c r="N20" s="16">
        <v>7</v>
      </c>
      <c r="O20" s="16" t="s">
        <v>67</v>
      </c>
      <c r="P20" s="16"/>
      <c r="Q20" s="146">
        <f t="shared" ref="Q20:Q22" si="4">L20*75</f>
        <v>75</v>
      </c>
      <c r="R20" s="146">
        <f t="shared" ref="R20:R24" si="5">Q20*0.9</f>
        <v>68</v>
      </c>
      <c r="S20" s="16" t="s">
        <v>10</v>
      </c>
      <c r="T20" s="16"/>
      <c r="U20" s="16" t="s">
        <v>103</v>
      </c>
      <c r="V20" s="92" t="s">
        <v>119</v>
      </c>
      <c r="W20" s="92" t="s">
        <v>120</v>
      </c>
      <c r="X20" s="92" t="s">
        <v>121</v>
      </c>
      <c r="Y20" s="16">
        <v>6022</v>
      </c>
      <c r="Z20" s="16">
        <v>400</v>
      </c>
      <c r="AA20" s="16" t="s">
        <v>116</v>
      </c>
      <c r="AB20" s="16"/>
      <c r="AC20" s="16" t="s">
        <v>73</v>
      </c>
      <c r="AD20" s="332"/>
    </row>
    <row r="21" s="7" customFormat="1" ht="24" spans="1:30">
      <c r="A21" s="268" t="s">
        <v>58</v>
      </c>
      <c r="B21" s="278"/>
      <c r="C21" s="277" t="s">
        <v>60</v>
      </c>
      <c r="D21" s="229"/>
      <c r="E21" s="271">
        <v>15</v>
      </c>
      <c r="F21" s="16" t="s">
        <v>97</v>
      </c>
      <c r="G21" s="16" t="s">
        <v>63</v>
      </c>
      <c r="H21" s="16"/>
      <c r="I21" s="24">
        <v>307</v>
      </c>
      <c r="J21" s="24">
        <v>308</v>
      </c>
      <c r="K21" s="16" t="s">
        <v>122</v>
      </c>
      <c r="L21" s="16">
        <f t="shared" si="3"/>
        <v>1</v>
      </c>
      <c r="M21" s="16" t="s">
        <v>66</v>
      </c>
      <c r="N21" s="16">
        <v>7</v>
      </c>
      <c r="O21" s="16" t="s">
        <v>67</v>
      </c>
      <c r="P21" s="16"/>
      <c r="Q21" s="146">
        <f t="shared" si="4"/>
        <v>75</v>
      </c>
      <c r="R21" s="146">
        <f t="shared" si="5"/>
        <v>68</v>
      </c>
      <c r="S21" s="16" t="s">
        <v>10</v>
      </c>
      <c r="T21" s="16"/>
      <c r="U21" s="16" t="s">
        <v>103</v>
      </c>
      <c r="V21" s="92" t="s">
        <v>123</v>
      </c>
      <c r="W21" s="92" t="s">
        <v>124</v>
      </c>
      <c r="X21" s="92" t="s">
        <v>125</v>
      </c>
      <c r="Y21" s="16">
        <v>6022</v>
      </c>
      <c r="Z21" s="16">
        <v>400</v>
      </c>
      <c r="AA21" s="16" t="s">
        <v>116</v>
      </c>
      <c r="AB21" s="16"/>
      <c r="AC21" s="16" t="s">
        <v>73</v>
      </c>
      <c r="AD21" s="332"/>
    </row>
    <row r="22" s="7" customFormat="1" ht="24" spans="1:30">
      <c r="A22" s="268" t="s">
        <v>58</v>
      </c>
      <c r="B22" s="278"/>
      <c r="C22" s="277" t="s">
        <v>60</v>
      </c>
      <c r="D22" s="279"/>
      <c r="E22" s="271">
        <v>16</v>
      </c>
      <c r="F22" s="16" t="s">
        <v>97</v>
      </c>
      <c r="G22" s="16" t="s">
        <v>63</v>
      </c>
      <c r="H22" s="16"/>
      <c r="I22" s="24">
        <v>310</v>
      </c>
      <c r="J22" s="24">
        <v>312.9</v>
      </c>
      <c r="K22" s="16" t="s">
        <v>126</v>
      </c>
      <c r="L22" s="16">
        <f t="shared" si="3"/>
        <v>2.89999999999998</v>
      </c>
      <c r="M22" s="16" t="s">
        <v>66</v>
      </c>
      <c r="N22" s="16">
        <v>7</v>
      </c>
      <c r="O22" s="16" t="s">
        <v>67</v>
      </c>
      <c r="P22" s="16"/>
      <c r="Q22" s="146">
        <f t="shared" si="4"/>
        <v>217</v>
      </c>
      <c r="R22" s="146">
        <f t="shared" si="5"/>
        <v>195</v>
      </c>
      <c r="S22" s="16" t="s">
        <v>10</v>
      </c>
      <c r="T22" s="16"/>
      <c r="U22" s="16" t="s">
        <v>103</v>
      </c>
      <c r="V22" s="92" t="s">
        <v>127</v>
      </c>
      <c r="W22" s="92" t="s">
        <v>128</v>
      </c>
      <c r="X22" s="92" t="s">
        <v>129</v>
      </c>
      <c r="Y22" s="16">
        <v>6022</v>
      </c>
      <c r="Z22" s="16">
        <v>400</v>
      </c>
      <c r="AA22" s="16" t="s">
        <v>116</v>
      </c>
      <c r="AB22" s="16"/>
      <c r="AC22" s="16" t="s">
        <v>73</v>
      </c>
      <c r="AD22" s="333"/>
    </row>
    <row r="23" s="7" customFormat="1" ht="66" customHeight="1" spans="1:30">
      <c r="A23" s="268" t="s">
        <v>58</v>
      </c>
      <c r="B23" s="275"/>
      <c r="C23" s="277" t="s">
        <v>60</v>
      </c>
      <c r="D23" s="273"/>
      <c r="E23" s="271">
        <v>17</v>
      </c>
      <c r="F23" s="16" t="s">
        <v>97</v>
      </c>
      <c r="G23" s="16" t="s">
        <v>63</v>
      </c>
      <c r="H23" s="16"/>
      <c r="I23" s="24">
        <v>329</v>
      </c>
      <c r="J23" s="24">
        <v>330.014</v>
      </c>
      <c r="K23" s="16" t="s">
        <v>130</v>
      </c>
      <c r="L23" s="16">
        <f t="shared" si="3"/>
        <v>1.01400000000001</v>
      </c>
      <c r="M23" s="16" t="s">
        <v>66</v>
      </c>
      <c r="N23" s="16">
        <v>12</v>
      </c>
      <c r="O23" s="16" t="s">
        <v>67</v>
      </c>
      <c r="P23" s="16" t="s">
        <v>131</v>
      </c>
      <c r="Q23" s="146">
        <f>L23*85</f>
        <v>86</v>
      </c>
      <c r="R23" s="146">
        <f t="shared" si="5"/>
        <v>77</v>
      </c>
      <c r="S23" s="16" t="s">
        <v>10</v>
      </c>
      <c r="T23" s="16" t="s">
        <v>102</v>
      </c>
      <c r="U23" s="16" t="s">
        <v>103</v>
      </c>
      <c r="V23" s="16">
        <v>95.31</v>
      </c>
      <c r="W23" s="16">
        <v>94.86</v>
      </c>
      <c r="X23" s="16">
        <v>95.98</v>
      </c>
      <c r="Y23" s="16">
        <v>15137</v>
      </c>
      <c r="Z23" s="16">
        <v>892</v>
      </c>
      <c r="AA23" s="16" t="s">
        <v>116</v>
      </c>
      <c r="AB23" s="16" t="s">
        <v>132</v>
      </c>
      <c r="AC23" s="16" t="s">
        <v>73</v>
      </c>
      <c r="AD23" s="330"/>
    </row>
    <row r="24" s="7" customFormat="1" ht="24" customHeight="1" spans="1:30">
      <c r="A24" s="268" t="s">
        <v>133</v>
      </c>
      <c r="B24" s="269"/>
      <c r="C24" s="277" t="s">
        <v>134</v>
      </c>
      <c r="D24" s="280"/>
      <c r="E24" s="271">
        <v>12</v>
      </c>
      <c r="F24" s="16" t="s">
        <v>97</v>
      </c>
      <c r="G24" s="16" t="s">
        <v>63</v>
      </c>
      <c r="H24" s="16" t="s">
        <v>109</v>
      </c>
      <c r="I24" s="24">
        <v>346.3</v>
      </c>
      <c r="J24" s="24">
        <v>346.6</v>
      </c>
      <c r="K24" s="16" t="s">
        <v>135</v>
      </c>
      <c r="L24" s="16">
        <f t="shared" si="3"/>
        <v>0.300000000000011</v>
      </c>
      <c r="M24" s="16" t="s">
        <v>66</v>
      </c>
      <c r="N24" s="16">
        <v>9</v>
      </c>
      <c r="O24" s="16" t="s">
        <v>67</v>
      </c>
      <c r="P24" s="103" t="s">
        <v>136</v>
      </c>
      <c r="Q24" s="146">
        <f>L24*85</f>
        <v>26</v>
      </c>
      <c r="R24" s="146">
        <f t="shared" si="5"/>
        <v>23</v>
      </c>
      <c r="S24" s="16" t="s">
        <v>10</v>
      </c>
      <c r="T24" s="315" t="s">
        <v>137</v>
      </c>
      <c r="U24" s="16" t="s">
        <v>103</v>
      </c>
      <c r="V24" s="92" t="s">
        <v>138</v>
      </c>
      <c r="W24" s="92" t="s">
        <v>139</v>
      </c>
      <c r="X24" s="92" t="s">
        <v>140</v>
      </c>
      <c r="Y24" s="16">
        <v>7028</v>
      </c>
      <c r="Z24" s="16">
        <v>1232</v>
      </c>
      <c r="AA24" s="16" t="s">
        <v>104</v>
      </c>
      <c r="AB24" s="16" t="s">
        <v>141</v>
      </c>
      <c r="AC24" s="16" t="s">
        <v>73</v>
      </c>
      <c r="AD24" s="331"/>
    </row>
    <row r="25" s="7" customFormat="1" ht="24" customHeight="1" spans="1:30">
      <c r="A25" s="268" t="s">
        <v>142</v>
      </c>
      <c r="B25" s="269"/>
      <c r="C25" s="277" t="s">
        <v>134</v>
      </c>
      <c r="D25" s="229"/>
      <c r="E25" s="271">
        <v>19</v>
      </c>
      <c r="F25" s="16" t="s">
        <v>97</v>
      </c>
      <c r="G25" s="16" t="s">
        <v>63</v>
      </c>
      <c r="H25" s="16"/>
      <c r="I25" s="24">
        <v>355.4</v>
      </c>
      <c r="J25" s="24">
        <v>355.7</v>
      </c>
      <c r="K25" s="16" t="s">
        <v>143</v>
      </c>
      <c r="L25" s="16">
        <f t="shared" si="3"/>
        <v>0.300000000000011</v>
      </c>
      <c r="M25" s="16" t="s">
        <v>66</v>
      </c>
      <c r="N25" s="16">
        <v>9</v>
      </c>
      <c r="O25" s="16" t="s">
        <v>67</v>
      </c>
      <c r="P25" s="96"/>
      <c r="Q25" s="146">
        <f t="shared" ref="Q25:Q26" si="6">L25*85</f>
        <v>26</v>
      </c>
      <c r="R25" s="146">
        <f t="shared" ref="R25:R28" si="7">Q25*0.9</f>
        <v>23</v>
      </c>
      <c r="S25" s="16" t="s">
        <v>10</v>
      </c>
      <c r="T25" s="315"/>
      <c r="U25" s="16" t="s">
        <v>103</v>
      </c>
      <c r="V25" s="92" t="s">
        <v>144</v>
      </c>
      <c r="W25" s="92" t="s">
        <v>145</v>
      </c>
      <c r="X25" s="92" t="s">
        <v>146</v>
      </c>
      <c r="Y25" s="16">
        <v>7028</v>
      </c>
      <c r="Z25" s="16">
        <v>1232</v>
      </c>
      <c r="AA25" s="16" t="s">
        <v>104</v>
      </c>
      <c r="AB25" s="16"/>
      <c r="AC25" s="16" t="s">
        <v>73</v>
      </c>
      <c r="AD25" s="332"/>
    </row>
    <row r="26" s="7" customFormat="1" ht="24" customHeight="1" spans="1:30">
      <c r="A26" s="268" t="s">
        <v>142</v>
      </c>
      <c r="B26" s="269"/>
      <c r="C26" s="277" t="s">
        <v>134</v>
      </c>
      <c r="D26" s="276"/>
      <c r="E26" s="271">
        <v>20</v>
      </c>
      <c r="F26" s="16" t="s">
        <v>97</v>
      </c>
      <c r="G26" s="16" t="s">
        <v>63</v>
      </c>
      <c r="H26" s="16"/>
      <c r="I26" s="24">
        <v>356.64</v>
      </c>
      <c r="J26" s="24">
        <v>356.79</v>
      </c>
      <c r="K26" s="16" t="s">
        <v>147</v>
      </c>
      <c r="L26" s="16">
        <f t="shared" si="3"/>
        <v>0.150000000000034</v>
      </c>
      <c r="M26" s="16" t="s">
        <v>66</v>
      </c>
      <c r="N26" s="16">
        <v>9</v>
      </c>
      <c r="O26" s="16" t="s">
        <v>67</v>
      </c>
      <c r="P26" s="96"/>
      <c r="Q26" s="146">
        <f t="shared" si="6"/>
        <v>13</v>
      </c>
      <c r="R26" s="146">
        <f t="shared" si="7"/>
        <v>12</v>
      </c>
      <c r="S26" s="16" t="s">
        <v>10</v>
      </c>
      <c r="T26" s="315"/>
      <c r="U26" s="16" t="s">
        <v>103</v>
      </c>
      <c r="V26" s="92" t="s">
        <v>148</v>
      </c>
      <c r="W26" s="92" t="s">
        <v>149</v>
      </c>
      <c r="X26" s="92" t="s">
        <v>150</v>
      </c>
      <c r="Y26" s="16">
        <v>7028</v>
      </c>
      <c r="Z26" s="16">
        <v>1232</v>
      </c>
      <c r="AA26" s="16" t="s">
        <v>104</v>
      </c>
      <c r="AB26" s="16"/>
      <c r="AC26" s="16" t="s">
        <v>73</v>
      </c>
      <c r="AD26" s="333"/>
    </row>
    <row r="27" s="7" customFormat="1" ht="30.95" customHeight="1" spans="1:30">
      <c r="A27" s="268" t="s">
        <v>58</v>
      </c>
      <c r="B27" s="269" t="s">
        <v>151</v>
      </c>
      <c r="C27" s="272" t="s">
        <v>60</v>
      </c>
      <c r="D27" s="281"/>
      <c r="E27" s="271">
        <v>13</v>
      </c>
      <c r="F27" s="16" t="s">
        <v>152</v>
      </c>
      <c r="G27" s="16" t="s">
        <v>98</v>
      </c>
      <c r="H27" s="16" t="s">
        <v>153</v>
      </c>
      <c r="I27" s="16">
        <v>755.464</v>
      </c>
      <c r="J27" s="16">
        <v>758.464</v>
      </c>
      <c r="K27" s="16" t="s">
        <v>154</v>
      </c>
      <c r="L27" s="16">
        <f t="shared" si="3"/>
        <v>3</v>
      </c>
      <c r="M27" s="16" t="s">
        <v>66</v>
      </c>
      <c r="N27" s="16">
        <v>12</v>
      </c>
      <c r="O27" s="16" t="s">
        <v>67</v>
      </c>
      <c r="P27" s="16" t="s">
        <v>155</v>
      </c>
      <c r="Q27" s="146">
        <f>L27*90</f>
        <v>270</v>
      </c>
      <c r="R27" s="146">
        <f t="shared" si="7"/>
        <v>243</v>
      </c>
      <c r="S27" s="16" t="s">
        <v>10</v>
      </c>
      <c r="T27" s="16" t="s">
        <v>156</v>
      </c>
      <c r="U27" s="16" t="s">
        <v>157</v>
      </c>
      <c r="V27" s="316">
        <v>92.37</v>
      </c>
      <c r="W27" s="317">
        <v>95.42</v>
      </c>
      <c r="X27" s="316" t="s">
        <v>158</v>
      </c>
      <c r="Y27" s="16">
        <v>5843</v>
      </c>
      <c r="Z27" s="16">
        <v>1033</v>
      </c>
      <c r="AA27" s="16" t="s">
        <v>159</v>
      </c>
      <c r="AB27" s="16" t="s">
        <v>160</v>
      </c>
      <c r="AC27" s="16" t="s">
        <v>73</v>
      </c>
      <c r="AD27" s="330"/>
    </row>
    <row r="28" s="7" customFormat="1" ht="51.95" customHeight="1" spans="1:30">
      <c r="A28" s="268" t="s">
        <v>58</v>
      </c>
      <c r="B28" s="277" t="s">
        <v>161</v>
      </c>
      <c r="C28" s="277" t="s">
        <v>60</v>
      </c>
      <c r="D28" s="229"/>
      <c r="E28" s="271">
        <v>14</v>
      </c>
      <c r="F28" s="16" t="s">
        <v>162</v>
      </c>
      <c r="G28" s="16" t="s">
        <v>163</v>
      </c>
      <c r="H28" s="16" t="s">
        <v>164</v>
      </c>
      <c r="I28" s="16">
        <v>2111.494</v>
      </c>
      <c r="J28" s="16">
        <v>2114.249</v>
      </c>
      <c r="K28" s="16" t="s">
        <v>165</v>
      </c>
      <c r="L28" s="16">
        <f t="shared" si="3"/>
        <v>2.75499999999965</v>
      </c>
      <c r="M28" s="16" t="s">
        <v>66</v>
      </c>
      <c r="N28" s="16">
        <v>8</v>
      </c>
      <c r="O28" s="16" t="s">
        <v>67</v>
      </c>
      <c r="P28" s="16" t="s">
        <v>166</v>
      </c>
      <c r="Q28" s="192">
        <f>L28*85</f>
        <v>234</v>
      </c>
      <c r="R28" s="146">
        <f t="shared" si="7"/>
        <v>211</v>
      </c>
      <c r="S28" s="39" t="s">
        <v>10</v>
      </c>
      <c r="T28" s="16" t="s">
        <v>167</v>
      </c>
      <c r="U28" s="16" t="s">
        <v>168</v>
      </c>
      <c r="V28" s="16">
        <v>85.38</v>
      </c>
      <c r="W28" s="16">
        <v>78.19</v>
      </c>
      <c r="X28" s="16">
        <v>96.18</v>
      </c>
      <c r="Y28" s="16">
        <v>7101</v>
      </c>
      <c r="Z28" s="16">
        <v>1474</v>
      </c>
      <c r="AA28" s="16" t="s">
        <v>169</v>
      </c>
      <c r="AB28" s="16" t="s">
        <v>170</v>
      </c>
      <c r="AC28" s="16" t="s">
        <v>73</v>
      </c>
      <c r="AD28" s="330"/>
    </row>
    <row r="29" s="7" customFormat="1" ht="24" spans="1:30">
      <c r="A29" s="268" t="s">
        <v>58</v>
      </c>
      <c r="B29" s="278"/>
      <c r="C29" s="277" t="s">
        <v>60</v>
      </c>
      <c r="D29" s="279"/>
      <c r="E29" s="271">
        <v>15</v>
      </c>
      <c r="F29" s="16" t="s">
        <v>171</v>
      </c>
      <c r="G29" s="16" t="s">
        <v>163</v>
      </c>
      <c r="H29" s="16" t="s">
        <v>172</v>
      </c>
      <c r="I29" s="24">
        <v>2089</v>
      </c>
      <c r="J29" s="24">
        <v>2090.131</v>
      </c>
      <c r="K29" s="16" t="s">
        <v>173</v>
      </c>
      <c r="L29" s="16">
        <f t="shared" si="3"/>
        <v>1.13099999999986</v>
      </c>
      <c r="M29" s="16" t="s">
        <v>66</v>
      </c>
      <c r="N29" s="16">
        <v>8</v>
      </c>
      <c r="O29" s="16" t="s">
        <v>67</v>
      </c>
      <c r="P29" s="20" t="s">
        <v>166</v>
      </c>
      <c r="Q29" s="192">
        <f t="shared" ref="Q29:Q35" si="8">L29*85</f>
        <v>96</v>
      </c>
      <c r="R29" s="146">
        <f t="shared" ref="R29:R36" si="9">Q29*0.9</f>
        <v>86</v>
      </c>
      <c r="S29" s="16" t="s">
        <v>10</v>
      </c>
      <c r="T29" s="16" t="s">
        <v>167</v>
      </c>
      <c r="U29" s="16" t="s">
        <v>168</v>
      </c>
      <c r="V29" s="16">
        <v>85.38</v>
      </c>
      <c r="W29" s="16">
        <v>78.19</v>
      </c>
      <c r="X29" s="16">
        <v>96.18</v>
      </c>
      <c r="Y29" s="16">
        <v>7101</v>
      </c>
      <c r="Z29" s="16">
        <v>1474</v>
      </c>
      <c r="AA29" s="16" t="s">
        <v>169</v>
      </c>
      <c r="AB29" s="16" t="s">
        <v>170</v>
      </c>
      <c r="AC29" s="16" t="s">
        <v>73</v>
      </c>
      <c r="AD29" s="330"/>
    </row>
    <row r="30" s="7" customFormat="1" ht="24" spans="1:30">
      <c r="A30" s="268" t="s">
        <v>58</v>
      </c>
      <c r="B30" s="278"/>
      <c r="C30" s="277" t="s">
        <v>60</v>
      </c>
      <c r="D30" s="229"/>
      <c r="E30" s="271">
        <v>43</v>
      </c>
      <c r="F30" s="16" t="s">
        <v>171</v>
      </c>
      <c r="G30" s="16" t="s">
        <v>163</v>
      </c>
      <c r="H30" s="16"/>
      <c r="I30" s="24">
        <v>2095.44</v>
      </c>
      <c r="J30" s="24">
        <v>2107</v>
      </c>
      <c r="K30" s="16" t="s">
        <v>174</v>
      </c>
      <c r="L30" s="16">
        <f t="shared" si="3"/>
        <v>11.5599999999999</v>
      </c>
      <c r="M30" s="16" t="s">
        <v>66</v>
      </c>
      <c r="N30" s="16">
        <v>8</v>
      </c>
      <c r="O30" s="16" t="s">
        <v>67</v>
      </c>
      <c r="P30" s="23"/>
      <c r="Q30" s="192">
        <f t="shared" si="8"/>
        <v>983</v>
      </c>
      <c r="R30" s="146">
        <f t="shared" si="9"/>
        <v>885</v>
      </c>
      <c r="S30" s="16" t="s">
        <v>10</v>
      </c>
      <c r="T30" s="16" t="s">
        <v>167</v>
      </c>
      <c r="U30" s="16" t="s">
        <v>168</v>
      </c>
      <c r="V30" s="16">
        <v>83.56</v>
      </c>
      <c r="W30" s="16">
        <v>75.37</v>
      </c>
      <c r="X30" s="16">
        <v>95.85</v>
      </c>
      <c r="Y30" s="16">
        <v>7101</v>
      </c>
      <c r="Z30" s="16">
        <v>1474</v>
      </c>
      <c r="AA30" s="16" t="s">
        <v>169</v>
      </c>
      <c r="AB30" s="16" t="s">
        <v>170</v>
      </c>
      <c r="AC30" s="16" t="s">
        <v>73</v>
      </c>
      <c r="AD30" s="330"/>
    </row>
    <row r="31" s="7" customFormat="1" ht="24" spans="1:30">
      <c r="A31" s="268" t="s">
        <v>58</v>
      </c>
      <c r="B31" s="275"/>
      <c r="C31" s="277" t="s">
        <v>60</v>
      </c>
      <c r="D31" s="273"/>
      <c r="E31" s="271">
        <v>45</v>
      </c>
      <c r="F31" s="16" t="s">
        <v>171</v>
      </c>
      <c r="G31" s="16" t="s">
        <v>163</v>
      </c>
      <c r="H31" s="16"/>
      <c r="I31" s="24">
        <v>2108.613</v>
      </c>
      <c r="J31" s="24">
        <v>2111.494</v>
      </c>
      <c r="K31" s="16" t="s">
        <v>175</v>
      </c>
      <c r="L31" s="16">
        <f t="shared" si="3"/>
        <v>2.88100000000031</v>
      </c>
      <c r="M31" s="16" t="s">
        <v>66</v>
      </c>
      <c r="N31" s="16">
        <v>8</v>
      </c>
      <c r="O31" s="16" t="s">
        <v>67</v>
      </c>
      <c r="P31" s="22"/>
      <c r="Q31" s="192">
        <f t="shared" si="8"/>
        <v>245</v>
      </c>
      <c r="R31" s="146">
        <f t="shared" si="9"/>
        <v>221</v>
      </c>
      <c r="S31" s="16" t="s">
        <v>10</v>
      </c>
      <c r="T31" s="16" t="s">
        <v>167</v>
      </c>
      <c r="U31" s="16" t="s">
        <v>168</v>
      </c>
      <c r="V31" s="16">
        <v>85.41</v>
      </c>
      <c r="W31" s="16">
        <v>79.02</v>
      </c>
      <c r="X31" s="16">
        <v>95.01</v>
      </c>
      <c r="Y31" s="16">
        <v>7101</v>
      </c>
      <c r="Z31" s="16">
        <v>1474</v>
      </c>
      <c r="AA31" s="16" t="s">
        <v>169</v>
      </c>
      <c r="AB31" s="16" t="s">
        <v>170</v>
      </c>
      <c r="AC31" s="16" t="s">
        <v>73</v>
      </c>
      <c r="AD31" s="330"/>
    </row>
    <row r="32" s="7" customFormat="1" ht="28" customHeight="1" spans="1:30">
      <c r="A32" s="268" t="s">
        <v>58</v>
      </c>
      <c r="B32" s="277" t="s">
        <v>176</v>
      </c>
      <c r="C32" s="277" t="s">
        <v>60</v>
      </c>
      <c r="D32" s="280"/>
      <c r="E32" s="271">
        <v>16</v>
      </c>
      <c r="F32" s="16" t="s">
        <v>177</v>
      </c>
      <c r="G32" s="16" t="s">
        <v>178</v>
      </c>
      <c r="H32" s="16" t="s">
        <v>179</v>
      </c>
      <c r="I32" s="16">
        <v>479.046</v>
      </c>
      <c r="J32" s="16">
        <v>479.893</v>
      </c>
      <c r="K32" s="16" t="s">
        <v>180</v>
      </c>
      <c r="L32" s="16">
        <f t="shared" si="3"/>
        <v>0.84699999999998</v>
      </c>
      <c r="M32" s="16" t="s">
        <v>66</v>
      </c>
      <c r="N32" s="16" t="s">
        <v>181</v>
      </c>
      <c r="O32" s="16" t="s">
        <v>67</v>
      </c>
      <c r="P32" s="20" t="s">
        <v>182</v>
      </c>
      <c r="Q32" s="192">
        <f t="shared" si="8"/>
        <v>72</v>
      </c>
      <c r="R32" s="146">
        <f t="shared" si="9"/>
        <v>65</v>
      </c>
      <c r="S32" s="16" t="s">
        <v>10</v>
      </c>
      <c r="T32" s="16" t="s">
        <v>183</v>
      </c>
      <c r="U32" s="16" t="s">
        <v>184</v>
      </c>
      <c r="V32" s="16">
        <v>93.73</v>
      </c>
      <c r="W32" s="16">
        <v>94.24</v>
      </c>
      <c r="X32" s="16">
        <v>93.93</v>
      </c>
      <c r="Y32" s="16">
        <v>6051</v>
      </c>
      <c r="Z32" s="16">
        <v>1252</v>
      </c>
      <c r="AA32" s="16" t="s">
        <v>185</v>
      </c>
      <c r="AB32" s="16" t="s">
        <v>186</v>
      </c>
      <c r="AC32" s="16"/>
      <c r="AD32" s="330"/>
    </row>
    <row r="33" s="7" customFormat="1" ht="28" customHeight="1" spans="1:30">
      <c r="A33" s="268" t="s">
        <v>58</v>
      </c>
      <c r="B33" s="278"/>
      <c r="C33" s="277" t="s">
        <v>60</v>
      </c>
      <c r="D33" s="229"/>
      <c r="E33" s="271">
        <v>65</v>
      </c>
      <c r="F33" s="16" t="s">
        <v>177</v>
      </c>
      <c r="G33" s="16" t="s">
        <v>178</v>
      </c>
      <c r="H33" s="16"/>
      <c r="I33" s="16">
        <v>481.928</v>
      </c>
      <c r="J33" s="16">
        <v>488.423</v>
      </c>
      <c r="K33" s="16" t="s">
        <v>187</v>
      </c>
      <c r="L33" s="16">
        <f t="shared" si="3"/>
        <v>6.49500000000001</v>
      </c>
      <c r="M33" s="16" t="s">
        <v>66</v>
      </c>
      <c r="N33" s="16" t="s">
        <v>188</v>
      </c>
      <c r="O33" s="16" t="s">
        <v>67</v>
      </c>
      <c r="P33" s="23"/>
      <c r="Q33" s="192">
        <f t="shared" si="8"/>
        <v>552</v>
      </c>
      <c r="R33" s="146">
        <f t="shared" si="9"/>
        <v>497</v>
      </c>
      <c r="S33" s="16" t="s">
        <v>10</v>
      </c>
      <c r="T33" s="16"/>
      <c r="U33" s="16" t="s">
        <v>184</v>
      </c>
      <c r="V33" s="16">
        <v>93.73</v>
      </c>
      <c r="W33" s="16">
        <v>94.24</v>
      </c>
      <c r="X33" s="16">
        <v>93.93</v>
      </c>
      <c r="Y33" s="16">
        <v>8015</v>
      </c>
      <c r="Z33" s="16">
        <v>775</v>
      </c>
      <c r="AA33" s="16" t="s">
        <v>185</v>
      </c>
      <c r="AB33" s="16" t="s">
        <v>186</v>
      </c>
      <c r="AC33" s="16"/>
      <c r="AD33" s="330"/>
    </row>
    <row r="34" s="7" customFormat="1" ht="28" customHeight="1" spans="1:30">
      <c r="A34" s="268" t="s">
        <v>58</v>
      </c>
      <c r="B34" s="278"/>
      <c r="C34" s="277" t="s">
        <v>60</v>
      </c>
      <c r="D34" s="279"/>
      <c r="E34" s="271">
        <v>66</v>
      </c>
      <c r="F34" s="16" t="s">
        <v>177</v>
      </c>
      <c r="G34" s="16" t="s">
        <v>178</v>
      </c>
      <c r="H34" s="16"/>
      <c r="I34" s="16">
        <v>488.823</v>
      </c>
      <c r="J34" s="24">
        <v>489.3</v>
      </c>
      <c r="K34" s="16" t="s">
        <v>189</v>
      </c>
      <c r="L34" s="16">
        <f t="shared" si="3"/>
        <v>0.477000000000032</v>
      </c>
      <c r="M34" s="16" t="s">
        <v>66</v>
      </c>
      <c r="N34" s="16" t="s">
        <v>188</v>
      </c>
      <c r="O34" s="16" t="s">
        <v>67</v>
      </c>
      <c r="P34" s="23"/>
      <c r="Q34" s="192">
        <f t="shared" si="8"/>
        <v>41</v>
      </c>
      <c r="R34" s="146">
        <f t="shared" si="9"/>
        <v>37</v>
      </c>
      <c r="S34" s="16" t="s">
        <v>10</v>
      </c>
      <c r="T34" s="16"/>
      <c r="U34" s="16" t="s">
        <v>184</v>
      </c>
      <c r="V34" s="16">
        <v>93.62</v>
      </c>
      <c r="W34" s="16">
        <v>93.68</v>
      </c>
      <c r="X34" s="16">
        <v>93.72</v>
      </c>
      <c r="Y34" s="16">
        <v>8015</v>
      </c>
      <c r="Z34" s="16">
        <v>775</v>
      </c>
      <c r="AA34" s="16" t="s">
        <v>185</v>
      </c>
      <c r="AB34" s="16" t="s">
        <v>186</v>
      </c>
      <c r="AC34" s="16"/>
      <c r="AD34" s="330"/>
    </row>
    <row r="35" s="7" customFormat="1" ht="28" customHeight="1" spans="1:30">
      <c r="A35" s="268" t="s">
        <v>58</v>
      </c>
      <c r="B35" s="275"/>
      <c r="C35" s="277" t="s">
        <v>60</v>
      </c>
      <c r="D35" s="273"/>
      <c r="E35" s="271">
        <v>67</v>
      </c>
      <c r="F35" s="16" t="s">
        <v>177</v>
      </c>
      <c r="G35" s="16" t="s">
        <v>178</v>
      </c>
      <c r="H35" s="16"/>
      <c r="I35" s="24">
        <v>490.1</v>
      </c>
      <c r="J35" s="24">
        <v>493.758</v>
      </c>
      <c r="K35" s="16" t="s">
        <v>190</v>
      </c>
      <c r="L35" s="16">
        <f t="shared" si="3"/>
        <v>3.65799999999996</v>
      </c>
      <c r="M35" s="16" t="s">
        <v>66</v>
      </c>
      <c r="N35" s="16" t="s">
        <v>188</v>
      </c>
      <c r="O35" s="16" t="s">
        <v>67</v>
      </c>
      <c r="P35" s="22"/>
      <c r="Q35" s="192">
        <f t="shared" si="8"/>
        <v>311</v>
      </c>
      <c r="R35" s="146">
        <f t="shared" si="9"/>
        <v>280</v>
      </c>
      <c r="S35" s="16" t="s">
        <v>10</v>
      </c>
      <c r="T35" s="16"/>
      <c r="U35" s="16" t="s">
        <v>184</v>
      </c>
      <c r="V35" s="16">
        <v>93.73</v>
      </c>
      <c r="W35" s="16">
        <v>94.24</v>
      </c>
      <c r="X35" s="16">
        <v>93.93</v>
      </c>
      <c r="Y35" s="16">
        <v>8015</v>
      </c>
      <c r="Z35" s="16">
        <v>775</v>
      </c>
      <c r="AA35" s="16" t="s">
        <v>185</v>
      </c>
      <c r="AB35" s="16" t="s">
        <v>186</v>
      </c>
      <c r="AC35" s="16"/>
      <c r="AD35" s="330"/>
    </row>
    <row r="36" s="7" customFormat="1" ht="71" customHeight="1" spans="1:30">
      <c r="A36" s="268" t="s">
        <v>191</v>
      </c>
      <c r="B36" s="282" t="s">
        <v>192</v>
      </c>
      <c r="C36" s="282" t="s">
        <v>60</v>
      </c>
      <c r="D36" s="283" t="s">
        <v>193</v>
      </c>
      <c r="E36" s="271">
        <v>17</v>
      </c>
      <c r="F36" s="16" t="s">
        <v>194</v>
      </c>
      <c r="G36" s="16" t="s">
        <v>195</v>
      </c>
      <c r="H36" s="284" t="s">
        <v>196</v>
      </c>
      <c r="I36" s="305">
        <v>418.15</v>
      </c>
      <c r="J36" s="305">
        <v>421.605</v>
      </c>
      <c r="K36" s="305" t="s">
        <v>197</v>
      </c>
      <c r="L36" s="16">
        <f t="shared" ref="L36:L46" si="10">J36-I36</f>
        <v>3.45500000000004</v>
      </c>
      <c r="M36" s="16" t="s">
        <v>66</v>
      </c>
      <c r="N36" s="195">
        <v>9</v>
      </c>
      <c r="O36" s="16" t="s">
        <v>67</v>
      </c>
      <c r="P36" s="16" t="s">
        <v>198</v>
      </c>
      <c r="Q36" s="318">
        <f>L36*380</f>
        <v>1313</v>
      </c>
      <c r="R36" s="318">
        <f t="shared" si="9"/>
        <v>1182</v>
      </c>
      <c r="S36" s="308" t="s">
        <v>8</v>
      </c>
      <c r="T36" s="16" t="s">
        <v>199</v>
      </c>
      <c r="U36" s="16" t="s">
        <v>200</v>
      </c>
      <c r="V36" s="16" t="s">
        <v>201</v>
      </c>
      <c r="W36" s="16" t="s">
        <v>202</v>
      </c>
      <c r="X36" s="16" t="s">
        <v>203</v>
      </c>
      <c r="Y36" s="16">
        <v>13872</v>
      </c>
      <c r="Z36" s="16">
        <v>1857</v>
      </c>
      <c r="AA36" s="16" t="s">
        <v>204</v>
      </c>
      <c r="AB36" s="16"/>
      <c r="AC36" s="16"/>
      <c r="AD36" s="330" t="s">
        <v>205</v>
      </c>
    </row>
    <row r="37" s="7" customFormat="1" ht="33" customHeight="1" spans="1:30">
      <c r="A37" s="268" t="s">
        <v>58</v>
      </c>
      <c r="B37" s="277" t="s">
        <v>206</v>
      </c>
      <c r="C37" s="277" t="s">
        <v>60</v>
      </c>
      <c r="D37" s="229"/>
      <c r="E37" s="285">
        <v>18</v>
      </c>
      <c r="F37" s="16" t="s">
        <v>194</v>
      </c>
      <c r="G37" s="16" t="s">
        <v>207</v>
      </c>
      <c r="H37" s="233" t="s">
        <v>208</v>
      </c>
      <c r="I37" s="305">
        <v>0</v>
      </c>
      <c r="J37" s="305">
        <v>1.634</v>
      </c>
      <c r="K37" s="306" t="s">
        <v>209</v>
      </c>
      <c r="L37" s="16">
        <f t="shared" si="10"/>
        <v>1.634</v>
      </c>
      <c r="M37" s="306" t="s">
        <v>210</v>
      </c>
      <c r="N37" s="306">
        <v>6.5</v>
      </c>
      <c r="O37" s="16" t="s">
        <v>67</v>
      </c>
      <c r="P37" s="306" t="s">
        <v>211</v>
      </c>
      <c r="Q37" s="319">
        <f>L37*75</f>
        <v>123</v>
      </c>
      <c r="R37" s="318">
        <f t="shared" ref="R37:R50" si="11">Q37*0.9</f>
        <v>111</v>
      </c>
      <c r="S37" s="16" t="s">
        <v>10</v>
      </c>
      <c r="T37" s="16" t="s">
        <v>212</v>
      </c>
      <c r="U37" s="233" t="s">
        <v>200</v>
      </c>
      <c r="V37" s="16" t="s">
        <v>213</v>
      </c>
      <c r="W37" s="16" t="s">
        <v>214</v>
      </c>
      <c r="X37" s="16" t="s">
        <v>215</v>
      </c>
      <c r="Y37" s="16">
        <v>10379</v>
      </c>
      <c r="Z37" s="16">
        <v>4356</v>
      </c>
      <c r="AA37" s="16" t="s">
        <v>216</v>
      </c>
      <c r="AB37" s="16" t="s">
        <v>217</v>
      </c>
      <c r="AC37" s="16"/>
      <c r="AD37" s="330"/>
    </row>
    <row r="38" s="7" customFormat="1" ht="36" spans="1:30">
      <c r="A38" s="268" t="s">
        <v>58</v>
      </c>
      <c r="B38" s="278"/>
      <c r="C38" s="277" t="s">
        <v>60</v>
      </c>
      <c r="D38" s="279"/>
      <c r="E38" s="285">
        <v>76</v>
      </c>
      <c r="F38" s="16"/>
      <c r="G38" s="16"/>
      <c r="H38" s="233"/>
      <c r="I38" s="305">
        <v>3</v>
      </c>
      <c r="J38" s="305">
        <v>3.548</v>
      </c>
      <c r="K38" s="306" t="s">
        <v>218</v>
      </c>
      <c r="L38" s="16">
        <f t="shared" si="10"/>
        <v>0.548</v>
      </c>
      <c r="M38" s="306" t="s">
        <v>210</v>
      </c>
      <c r="N38" s="306">
        <v>6.5</v>
      </c>
      <c r="O38" s="16" t="s">
        <v>67</v>
      </c>
      <c r="P38" s="306" t="s">
        <v>211</v>
      </c>
      <c r="Q38" s="319">
        <f t="shared" ref="Q38:Q40" si="12">L38*75</f>
        <v>41</v>
      </c>
      <c r="R38" s="318">
        <f t="shared" si="11"/>
        <v>37</v>
      </c>
      <c r="S38" s="16" t="s">
        <v>10</v>
      </c>
      <c r="T38" s="16" t="s">
        <v>212</v>
      </c>
      <c r="U38" s="233" t="s">
        <v>200</v>
      </c>
      <c r="V38" s="16">
        <v>89.74</v>
      </c>
      <c r="W38" s="16">
        <v>91.1</v>
      </c>
      <c r="X38" s="16">
        <v>87.7</v>
      </c>
      <c r="Y38" s="16"/>
      <c r="Z38" s="16"/>
      <c r="AA38" s="16" t="s">
        <v>216</v>
      </c>
      <c r="AB38" s="16" t="s">
        <v>217</v>
      </c>
      <c r="AC38" s="16"/>
      <c r="AD38" s="330"/>
    </row>
    <row r="39" s="7" customFormat="1" ht="24" spans="1:30">
      <c r="A39" s="268"/>
      <c r="B39" s="278"/>
      <c r="C39" s="277"/>
      <c r="D39" s="229"/>
      <c r="E39" s="285"/>
      <c r="F39" s="16"/>
      <c r="G39" s="16"/>
      <c r="H39" s="233"/>
      <c r="I39" s="305">
        <v>6.734</v>
      </c>
      <c r="J39" s="305">
        <v>7.8</v>
      </c>
      <c r="K39" s="306" t="s">
        <v>219</v>
      </c>
      <c r="L39" s="16">
        <f t="shared" si="10"/>
        <v>1.066</v>
      </c>
      <c r="M39" s="306" t="s">
        <v>210</v>
      </c>
      <c r="N39" s="306">
        <v>6.5</v>
      </c>
      <c r="O39" s="16" t="s">
        <v>67</v>
      </c>
      <c r="P39" s="306" t="s">
        <v>211</v>
      </c>
      <c r="Q39" s="319">
        <f t="shared" si="12"/>
        <v>80</v>
      </c>
      <c r="R39" s="318">
        <f t="shared" si="11"/>
        <v>72</v>
      </c>
      <c r="S39" s="16" t="s">
        <v>10</v>
      </c>
      <c r="T39" s="16" t="s">
        <v>212</v>
      </c>
      <c r="U39" s="233" t="s">
        <v>200</v>
      </c>
      <c r="V39" s="16"/>
      <c r="W39" s="16"/>
      <c r="X39" s="16"/>
      <c r="Y39" s="16"/>
      <c r="Z39" s="16"/>
      <c r="AA39" s="16"/>
      <c r="AB39" s="16"/>
      <c r="AC39" s="16"/>
      <c r="AD39" s="330"/>
    </row>
    <row r="40" s="7" customFormat="1" ht="24" spans="1:30">
      <c r="A40" s="268" t="s">
        <v>58</v>
      </c>
      <c r="B40" s="278"/>
      <c r="C40" s="277" t="s">
        <v>60</v>
      </c>
      <c r="D40" s="229"/>
      <c r="E40" s="285">
        <v>77</v>
      </c>
      <c r="F40" s="16"/>
      <c r="G40" s="16"/>
      <c r="H40" s="233"/>
      <c r="I40" s="305">
        <v>8.255</v>
      </c>
      <c r="J40" s="305">
        <v>8.77</v>
      </c>
      <c r="K40" s="306" t="s">
        <v>220</v>
      </c>
      <c r="L40" s="16">
        <f t="shared" si="10"/>
        <v>0.514999999999999</v>
      </c>
      <c r="M40" s="306" t="s">
        <v>210</v>
      </c>
      <c r="N40" s="306">
        <v>6.5</v>
      </c>
      <c r="O40" s="16" t="s">
        <v>67</v>
      </c>
      <c r="P40" s="306" t="s">
        <v>211</v>
      </c>
      <c r="Q40" s="319">
        <f t="shared" si="12"/>
        <v>39</v>
      </c>
      <c r="R40" s="318">
        <f t="shared" si="11"/>
        <v>35</v>
      </c>
      <c r="S40" s="16" t="s">
        <v>10</v>
      </c>
      <c r="T40" s="16" t="s">
        <v>212</v>
      </c>
      <c r="U40" s="233" t="s">
        <v>200</v>
      </c>
      <c r="V40" s="16">
        <v>84.8</v>
      </c>
      <c r="W40" s="16">
        <v>81.7</v>
      </c>
      <c r="X40" s="16">
        <v>89.4</v>
      </c>
      <c r="Y40" s="16"/>
      <c r="Z40" s="16"/>
      <c r="AA40" s="16" t="s">
        <v>221</v>
      </c>
      <c r="AB40" s="16"/>
      <c r="AC40" s="16" t="s">
        <v>222</v>
      </c>
      <c r="AD40" s="330"/>
    </row>
    <row r="41" s="7" customFormat="1" ht="24" spans="1:30">
      <c r="A41" s="268" t="s">
        <v>58</v>
      </c>
      <c r="B41" s="278"/>
      <c r="C41" s="277" t="s">
        <v>60</v>
      </c>
      <c r="D41" s="279"/>
      <c r="E41" s="285">
        <v>78</v>
      </c>
      <c r="F41" s="16"/>
      <c r="G41" s="16"/>
      <c r="H41" s="233"/>
      <c r="I41" s="305">
        <v>21.55</v>
      </c>
      <c r="J41" s="305">
        <v>21.84</v>
      </c>
      <c r="K41" s="306" t="s">
        <v>223</v>
      </c>
      <c r="L41" s="16">
        <f t="shared" si="10"/>
        <v>0.289999999999999</v>
      </c>
      <c r="M41" s="306" t="s">
        <v>210</v>
      </c>
      <c r="N41" s="306">
        <v>7</v>
      </c>
      <c r="O41" s="16" t="s">
        <v>67</v>
      </c>
      <c r="P41" s="306" t="s">
        <v>224</v>
      </c>
      <c r="Q41" s="319">
        <f>L41*80</f>
        <v>23</v>
      </c>
      <c r="R41" s="318">
        <f t="shared" si="11"/>
        <v>21</v>
      </c>
      <c r="S41" s="16" t="s">
        <v>10</v>
      </c>
      <c r="T41" s="16" t="s">
        <v>225</v>
      </c>
      <c r="U41" s="233" t="s">
        <v>200</v>
      </c>
      <c r="V41" s="16">
        <v>87.84</v>
      </c>
      <c r="W41" s="16">
        <v>87.4</v>
      </c>
      <c r="X41" s="16">
        <v>88.5</v>
      </c>
      <c r="Y41" s="16"/>
      <c r="Z41" s="16"/>
      <c r="AA41" s="16" t="s">
        <v>221</v>
      </c>
      <c r="AB41" s="16"/>
      <c r="AC41" s="16" t="s">
        <v>222</v>
      </c>
      <c r="AD41" s="330"/>
    </row>
    <row r="42" s="7" customFormat="1" ht="24" spans="1:30">
      <c r="A42" s="268"/>
      <c r="B42" s="278"/>
      <c r="C42" s="277"/>
      <c r="D42" s="229"/>
      <c r="E42" s="285"/>
      <c r="F42" s="16"/>
      <c r="G42" s="16"/>
      <c r="H42" s="233"/>
      <c r="I42" s="305">
        <v>24.4</v>
      </c>
      <c r="J42" s="305">
        <v>24.96</v>
      </c>
      <c r="K42" s="306" t="s">
        <v>226</v>
      </c>
      <c r="L42" s="16">
        <f t="shared" si="10"/>
        <v>0.560000000000002</v>
      </c>
      <c r="M42" s="306" t="s">
        <v>210</v>
      </c>
      <c r="N42" s="306">
        <v>7</v>
      </c>
      <c r="O42" s="16" t="s">
        <v>67</v>
      </c>
      <c r="P42" s="306" t="s">
        <v>224</v>
      </c>
      <c r="Q42" s="319">
        <f t="shared" ref="Q42:Q43" si="13">L42*80</f>
        <v>45</v>
      </c>
      <c r="R42" s="318">
        <f t="shared" si="11"/>
        <v>41</v>
      </c>
      <c r="S42" s="16" t="s">
        <v>10</v>
      </c>
      <c r="T42" s="16" t="s">
        <v>227</v>
      </c>
      <c r="U42" s="233" t="s">
        <v>200</v>
      </c>
      <c r="V42" s="16"/>
      <c r="W42" s="16"/>
      <c r="X42" s="16"/>
      <c r="Y42" s="16"/>
      <c r="Z42" s="16"/>
      <c r="AA42" s="16"/>
      <c r="AB42" s="16"/>
      <c r="AC42" s="16"/>
      <c r="AD42" s="330"/>
    </row>
    <row r="43" s="7" customFormat="1" ht="24" spans="1:30">
      <c r="A43" s="268" t="s">
        <v>58</v>
      </c>
      <c r="B43" s="275"/>
      <c r="C43" s="277" t="s">
        <v>60</v>
      </c>
      <c r="D43" s="273"/>
      <c r="E43" s="285">
        <v>79</v>
      </c>
      <c r="F43" s="16"/>
      <c r="G43" s="16"/>
      <c r="H43" s="233"/>
      <c r="I43" s="305">
        <v>28.08</v>
      </c>
      <c r="J43" s="305">
        <v>29.22</v>
      </c>
      <c r="K43" s="306" t="s">
        <v>228</v>
      </c>
      <c r="L43" s="16">
        <f t="shared" si="10"/>
        <v>1.14</v>
      </c>
      <c r="M43" s="306" t="s">
        <v>210</v>
      </c>
      <c r="N43" s="306">
        <v>7</v>
      </c>
      <c r="O43" s="16" t="s">
        <v>67</v>
      </c>
      <c r="P43" s="306" t="s">
        <v>224</v>
      </c>
      <c r="Q43" s="319">
        <f t="shared" si="13"/>
        <v>91</v>
      </c>
      <c r="R43" s="318">
        <f t="shared" si="11"/>
        <v>82</v>
      </c>
      <c r="S43" s="16" t="s">
        <v>10</v>
      </c>
      <c r="T43" s="16" t="s">
        <v>227</v>
      </c>
      <c r="U43" s="233" t="s">
        <v>200</v>
      </c>
      <c r="V43" s="16">
        <v>90.54</v>
      </c>
      <c r="W43" s="16">
        <v>92.5</v>
      </c>
      <c r="X43" s="16">
        <v>87.6</v>
      </c>
      <c r="Y43" s="16"/>
      <c r="Z43" s="16"/>
      <c r="AA43" s="16" t="s">
        <v>221</v>
      </c>
      <c r="AB43" s="16"/>
      <c r="AC43" s="16" t="s">
        <v>222</v>
      </c>
      <c r="AD43" s="330"/>
    </row>
    <row r="44" s="7" customFormat="1" ht="33" customHeight="1" spans="1:30">
      <c r="A44" s="268" t="s">
        <v>229</v>
      </c>
      <c r="B44" s="269" t="s">
        <v>230</v>
      </c>
      <c r="C44" s="269" t="s">
        <v>60</v>
      </c>
      <c r="D44" s="270" t="s">
        <v>231</v>
      </c>
      <c r="E44" s="271">
        <v>19</v>
      </c>
      <c r="F44" s="16" t="s">
        <v>232</v>
      </c>
      <c r="G44" s="16" t="s">
        <v>233</v>
      </c>
      <c r="H44" s="16" t="s">
        <v>234</v>
      </c>
      <c r="I44" s="24">
        <v>2113.58</v>
      </c>
      <c r="J44" s="24">
        <v>2113.97</v>
      </c>
      <c r="K44" s="16" t="s">
        <v>235</v>
      </c>
      <c r="L44" s="16">
        <f t="shared" si="10"/>
        <v>0.389999999999873</v>
      </c>
      <c r="M44" s="16" t="s">
        <v>210</v>
      </c>
      <c r="N44" s="195">
        <v>7</v>
      </c>
      <c r="O44" s="16" t="s">
        <v>67</v>
      </c>
      <c r="P44" s="24" t="s">
        <v>236</v>
      </c>
      <c r="Q44" s="192">
        <f>L44*350</f>
        <v>136</v>
      </c>
      <c r="R44" s="318">
        <f t="shared" si="11"/>
        <v>122</v>
      </c>
      <c r="S44" s="305" t="s">
        <v>8</v>
      </c>
      <c r="T44" s="16" t="s">
        <v>237</v>
      </c>
      <c r="U44" s="16" t="s">
        <v>238</v>
      </c>
      <c r="V44" s="16">
        <v>88.63</v>
      </c>
      <c r="W44" s="16">
        <v>89.84</v>
      </c>
      <c r="X44" s="16">
        <v>86.83</v>
      </c>
      <c r="Y44" s="16">
        <v>2223</v>
      </c>
      <c r="Z44" s="16">
        <v>126</v>
      </c>
      <c r="AA44" s="16" t="s">
        <v>239</v>
      </c>
      <c r="AB44" s="16" t="s">
        <v>240</v>
      </c>
      <c r="AC44" s="16" t="s">
        <v>241</v>
      </c>
      <c r="AD44" s="330"/>
    </row>
    <row r="45" s="7" customFormat="1" ht="24" spans="1:30">
      <c r="A45" s="268"/>
      <c r="B45" s="269"/>
      <c r="C45" s="272"/>
      <c r="D45" s="281"/>
      <c r="E45" s="271"/>
      <c r="F45" s="16"/>
      <c r="G45" s="16"/>
      <c r="H45" s="16"/>
      <c r="I45" s="24">
        <v>2115.32</v>
      </c>
      <c r="J45" s="24">
        <v>2116.8</v>
      </c>
      <c r="K45" s="16" t="s">
        <v>242</v>
      </c>
      <c r="L45" s="16">
        <f t="shared" si="10"/>
        <v>1.48000000000002</v>
      </c>
      <c r="M45" s="16" t="s">
        <v>210</v>
      </c>
      <c r="N45" s="195">
        <v>7</v>
      </c>
      <c r="O45" s="16" t="s">
        <v>67</v>
      </c>
      <c r="P45" s="24" t="s">
        <v>236</v>
      </c>
      <c r="Q45" s="192">
        <f t="shared" ref="Q45:Q46" si="14">L45*350</f>
        <v>518</v>
      </c>
      <c r="R45" s="318">
        <f t="shared" si="11"/>
        <v>466</v>
      </c>
      <c r="S45" s="305" t="s">
        <v>8</v>
      </c>
      <c r="T45" s="16" t="s">
        <v>237</v>
      </c>
      <c r="U45" s="16"/>
      <c r="V45" s="16"/>
      <c r="W45" s="16"/>
      <c r="X45" s="16"/>
      <c r="Y45" s="16"/>
      <c r="Z45" s="16"/>
      <c r="AA45" s="16"/>
      <c r="AB45" s="16"/>
      <c r="AC45" s="16"/>
      <c r="AD45" s="330"/>
    </row>
    <row r="46" s="7" customFormat="1" ht="24" spans="1:30">
      <c r="A46" s="268"/>
      <c r="B46" s="269"/>
      <c r="C46" s="272"/>
      <c r="D46" s="281"/>
      <c r="E46" s="271"/>
      <c r="F46" s="16"/>
      <c r="G46" s="16"/>
      <c r="H46" s="16"/>
      <c r="I46" s="24">
        <v>2122.626</v>
      </c>
      <c r="J46" s="24">
        <v>2124.45</v>
      </c>
      <c r="K46" s="16" t="s">
        <v>243</v>
      </c>
      <c r="L46" s="16">
        <f t="shared" si="10"/>
        <v>1.82399999999961</v>
      </c>
      <c r="M46" s="16" t="s">
        <v>210</v>
      </c>
      <c r="N46" s="195">
        <v>7</v>
      </c>
      <c r="O46" s="16" t="s">
        <v>67</v>
      </c>
      <c r="P46" s="24" t="s">
        <v>236</v>
      </c>
      <c r="Q46" s="192">
        <f t="shared" si="14"/>
        <v>638</v>
      </c>
      <c r="R46" s="318">
        <f t="shared" si="11"/>
        <v>574</v>
      </c>
      <c r="S46" s="305" t="s">
        <v>8</v>
      </c>
      <c r="T46" s="16" t="s">
        <v>237</v>
      </c>
      <c r="U46" s="16"/>
      <c r="V46" s="16"/>
      <c r="W46" s="16"/>
      <c r="X46" s="16"/>
      <c r="Y46" s="16"/>
      <c r="Z46" s="16"/>
      <c r="AA46" s="16"/>
      <c r="AB46" s="16"/>
      <c r="AC46" s="16"/>
      <c r="AD46" s="330"/>
    </row>
    <row r="47" s="7" customFormat="1" ht="24" spans="1:30">
      <c r="A47" s="268"/>
      <c r="B47" s="269"/>
      <c r="C47" s="272"/>
      <c r="D47" s="281"/>
      <c r="E47" s="286">
        <v>20</v>
      </c>
      <c r="F47" s="20" t="s">
        <v>232</v>
      </c>
      <c r="G47" s="20" t="s">
        <v>233</v>
      </c>
      <c r="H47" s="20" t="s">
        <v>244</v>
      </c>
      <c r="I47" s="24">
        <v>2112.85</v>
      </c>
      <c r="J47" s="24">
        <v>2113.58</v>
      </c>
      <c r="K47" s="40" t="s">
        <v>245</v>
      </c>
      <c r="L47" s="24">
        <f t="shared" ref="L47:L61" si="15">J47-I47</f>
        <v>0.73</v>
      </c>
      <c r="M47" s="16" t="s">
        <v>210</v>
      </c>
      <c r="N47" s="195">
        <v>7</v>
      </c>
      <c r="O47" s="16" t="s">
        <v>67</v>
      </c>
      <c r="P47" s="24" t="s">
        <v>236</v>
      </c>
      <c r="Q47" s="192">
        <v>40</v>
      </c>
      <c r="R47" s="318">
        <f t="shared" si="11"/>
        <v>36</v>
      </c>
      <c r="S47" s="305" t="s">
        <v>10</v>
      </c>
      <c r="T47" s="104" t="s">
        <v>246</v>
      </c>
      <c r="U47" s="20" t="s">
        <v>238</v>
      </c>
      <c r="V47" s="16"/>
      <c r="W47" s="16"/>
      <c r="X47" s="16"/>
      <c r="Y47" s="16"/>
      <c r="Z47" s="16"/>
      <c r="AA47" s="16"/>
      <c r="AB47" s="16"/>
      <c r="AC47" s="16"/>
      <c r="AD47" s="330"/>
    </row>
    <row r="48" s="7" customFormat="1" ht="24" spans="1:30">
      <c r="A48" s="268"/>
      <c r="B48" s="269"/>
      <c r="C48" s="272"/>
      <c r="D48" s="281"/>
      <c r="E48" s="287"/>
      <c r="F48" s="23"/>
      <c r="G48" s="23"/>
      <c r="H48" s="23"/>
      <c r="I48" s="24">
        <v>2113.97</v>
      </c>
      <c r="J48" s="24">
        <v>2115.32</v>
      </c>
      <c r="K48" s="40" t="s">
        <v>247</v>
      </c>
      <c r="L48" s="16">
        <f t="shared" si="15"/>
        <v>1.35000000000036</v>
      </c>
      <c r="M48" s="16" t="s">
        <v>210</v>
      </c>
      <c r="N48" s="195">
        <v>7</v>
      </c>
      <c r="O48" s="16" t="s">
        <v>67</v>
      </c>
      <c r="P48" s="24" t="s">
        <v>236</v>
      </c>
      <c r="Q48" s="319">
        <f t="shared" ref="Q48:Q51" si="16">L48*80</f>
        <v>108</v>
      </c>
      <c r="R48" s="318">
        <f t="shared" si="11"/>
        <v>97</v>
      </c>
      <c r="S48" s="305" t="s">
        <v>10</v>
      </c>
      <c r="T48" s="320"/>
      <c r="U48" s="23"/>
      <c r="V48" s="16"/>
      <c r="W48" s="16"/>
      <c r="X48" s="16"/>
      <c r="Y48" s="16"/>
      <c r="Z48" s="16"/>
      <c r="AA48" s="16"/>
      <c r="AB48" s="16"/>
      <c r="AC48" s="16"/>
      <c r="AD48" s="330"/>
    </row>
    <row r="49" s="7" customFormat="1" ht="24" spans="1:30">
      <c r="A49" s="268"/>
      <c r="B49" s="269"/>
      <c r="C49" s="272"/>
      <c r="D49" s="281"/>
      <c r="E49" s="287"/>
      <c r="F49" s="23"/>
      <c r="G49" s="23"/>
      <c r="H49" s="23"/>
      <c r="I49" s="24">
        <v>2116.8</v>
      </c>
      <c r="J49" s="24">
        <v>2122.626</v>
      </c>
      <c r="K49" s="40" t="s">
        <v>248</v>
      </c>
      <c r="L49" s="16">
        <f t="shared" si="15"/>
        <v>5.82600000000002</v>
      </c>
      <c r="M49" s="16" t="s">
        <v>210</v>
      </c>
      <c r="N49" s="195">
        <v>7</v>
      </c>
      <c r="O49" s="16" t="s">
        <v>67</v>
      </c>
      <c r="P49" s="24" t="s">
        <v>236</v>
      </c>
      <c r="Q49" s="319">
        <f t="shared" si="16"/>
        <v>466</v>
      </c>
      <c r="R49" s="318">
        <f t="shared" si="11"/>
        <v>419</v>
      </c>
      <c r="S49" s="305" t="s">
        <v>10</v>
      </c>
      <c r="T49" s="320"/>
      <c r="U49" s="23"/>
      <c r="V49" s="16"/>
      <c r="W49" s="16"/>
      <c r="X49" s="16"/>
      <c r="Y49" s="16"/>
      <c r="Z49" s="16"/>
      <c r="AA49" s="16"/>
      <c r="AB49" s="16"/>
      <c r="AC49" s="16"/>
      <c r="AD49" s="330"/>
    </row>
    <row r="50" s="7" customFormat="1" ht="24" spans="1:30">
      <c r="A50" s="268"/>
      <c r="B50" s="269"/>
      <c r="C50" s="272"/>
      <c r="D50" s="281"/>
      <c r="E50" s="288"/>
      <c r="F50" s="22"/>
      <c r="G50" s="22"/>
      <c r="H50" s="22"/>
      <c r="I50" s="24">
        <v>2124.45</v>
      </c>
      <c r="J50" s="16">
        <v>2130.398</v>
      </c>
      <c r="K50" s="40" t="s">
        <v>249</v>
      </c>
      <c r="L50" s="16">
        <f t="shared" si="15"/>
        <v>5.94800000000032</v>
      </c>
      <c r="M50" s="16" t="s">
        <v>210</v>
      </c>
      <c r="N50" s="195">
        <v>7</v>
      </c>
      <c r="O50" s="16" t="s">
        <v>67</v>
      </c>
      <c r="P50" s="24" t="s">
        <v>236</v>
      </c>
      <c r="Q50" s="319">
        <f t="shared" si="16"/>
        <v>476</v>
      </c>
      <c r="R50" s="318">
        <f t="shared" si="11"/>
        <v>428</v>
      </c>
      <c r="S50" s="305" t="s">
        <v>10</v>
      </c>
      <c r="T50" s="321"/>
      <c r="U50" s="22"/>
      <c r="V50" s="16"/>
      <c r="W50" s="16"/>
      <c r="X50" s="16"/>
      <c r="Y50" s="16"/>
      <c r="Z50" s="16"/>
      <c r="AA50" s="16"/>
      <c r="AB50" s="16"/>
      <c r="AC50" s="16"/>
      <c r="AD50" s="330"/>
    </row>
    <row r="51" s="7" customFormat="1" ht="45" customHeight="1" spans="1:30">
      <c r="A51" s="268" t="s">
        <v>58</v>
      </c>
      <c r="B51" s="269" t="s">
        <v>250</v>
      </c>
      <c r="C51" s="269" t="s">
        <v>60</v>
      </c>
      <c r="D51" s="270" t="s">
        <v>251</v>
      </c>
      <c r="E51" s="271">
        <v>21</v>
      </c>
      <c r="F51" s="16" t="s">
        <v>252</v>
      </c>
      <c r="G51" s="16" t="s">
        <v>253</v>
      </c>
      <c r="H51" s="16" t="s">
        <v>254</v>
      </c>
      <c r="I51" s="40">
        <v>90.328</v>
      </c>
      <c r="J51" s="40">
        <v>93.628</v>
      </c>
      <c r="K51" s="40" t="s">
        <v>255</v>
      </c>
      <c r="L51" s="16">
        <f t="shared" si="15"/>
        <v>3.3</v>
      </c>
      <c r="M51" s="16" t="s">
        <v>66</v>
      </c>
      <c r="N51" s="16">
        <v>7</v>
      </c>
      <c r="O51" s="16" t="s">
        <v>67</v>
      </c>
      <c r="P51" s="16" t="s">
        <v>256</v>
      </c>
      <c r="Q51" s="192">
        <f t="shared" si="16"/>
        <v>264</v>
      </c>
      <c r="R51" s="192">
        <f>(3300*8.5*0.03*1400+3300*8.5*4+3300*1*45+150000)/10000</f>
        <v>159</v>
      </c>
      <c r="S51" s="16" t="s">
        <v>10</v>
      </c>
      <c r="T51" s="16" t="s">
        <v>257</v>
      </c>
      <c r="U51" s="16" t="s">
        <v>258</v>
      </c>
      <c r="V51" s="16">
        <v>91</v>
      </c>
      <c r="W51" s="16">
        <v>90</v>
      </c>
      <c r="X51" s="16">
        <v>92</v>
      </c>
      <c r="Y51" s="16">
        <v>2630</v>
      </c>
      <c r="Z51" s="16">
        <v>838</v>
      </c>
      <c r="AA51" s="16" t="s">
        <v>259</v>
      </c>
      <c r="AB51" s="16" t="s">
        <v>260</v>
      </c>
      <c r="AC51" s="16" t="s">
        <v>73</v>
      </c>
      <c r="AD51" s="330"/>
    </row>
    <row r="52" s="7" customFormat="1" ht="53.1" customHeight="1" spans="1:30">
      <c r="A52" s="268"/>
      <c r="B52" s="275"/>
      <c r="C52" s="274"/>
      <c r="D52" s="273"/>
      <c r="E52" s="271">
        <v>22</v>
      </c>
      <c r="F52" s="16" t="s">
        <v>261</v>
      </c>
      <c r="G52" s="16" t="s">
        <v>163</v>
      </c>
      <c r="H52" s="16" t="s">
        <v>262</v>
      </c>
      <c r="I52" s="24">
        <v>2210.45</v>
      </c>
      <c r="J52" s="24">
        <v>2212.321</v>
      </c>
      <c r="K52" s="16" t="s">
        <v>263</v>
      </c>
      <c r="L52" s="16">
        <f t="shared" si="15"/>
        <v>1.87100000000009</v>
      </c>
      <c r="M52" s="16" t="s">
        <v>66</v>
      </c>
      <c r="N52" s="16">
        <v>12</v>
      </c>
      <c r="O52" s="16" t="s">
        <v>67</v>
      </c>
      <c r="P52" s="96" t="s">
        <v>264</v>
      </c>
      <c r="Q52" s="146">
        <f>L52*90</f>
        <v>168</v>
      </c>
      <c r="R52" s="146">
        <f>Q52*0.9</f>
        <v>151</v>
      </c>
      <c r="S52" s="16" t="s">
        <v>10</v>
      </c>
      <c r="T52" s="96" t="s">
        <v>265</v>
      </c>
      <c r="U52" s="16" t="s">
        <v>266</v>
      </c>
      <c r="V52" s="16"/>
      <c r="W52" s="16"/>
      <c r="X52" s="16"/>
      <c r="Y52" s="16"/>
      <c r="Z52" s="16"/>
      <c r="AA52" s="16"/>
      <c r="AB52" s="16"/>
      <c r="AC52" s="16"/>
      <c r="AD52" s="330"/>
    </row>
    <row r="53" s="7" customFormat="1" ht="72" spans="1:30">
      <c r="A53" s="268" t="s">
        <v>58</v>
      </c>
      <c r="B53" s="269" t="s">
        <v>267</v>
      </c>
      <c r="C53" s="274" t="s">
        <v>60</v>
      </c>
      <c r="D53" s="273"/>
      <c r="E53" s="271">
        <v>23</v>
      </c>
      <c r="F53" s="16" t="s">
        <v>261</v>
      </c>
      <c r="G53" s="16" t="s">
        <v>163</v>
      </c>
      <c r="H53" s="16" t="s">
        <v>268</v>
      </c>
      <c r="I53" s="307">
        <v>2212.321</v>
      </c>
      <c r="J53" s="24">
        <v>2213.975</v>
      </c>
      <c r="K53" s="16" t="s">
        <v>263</v>
      </c>
      <c r="L53" s="16">
        <f t="shared" si="15"/>
        <v>1.654</v>
      </c>
      <c r="M53" s="16" t="s">
        <v>66</v>
      </c>
      <c r="N53" s="16">
        <v>12</v>
      </c>
      <c r="O53" s="16" t="s">
        <v>67</v>
      </c>
      <c r="P53" s="39" t="s">
        <v>264</v>
      </c>
      <c r="Q53" s="146">
        <f>L53*90</f>
        <v>149</v>
      </c>
      <c r="R53" s="322">
        <f>Q53*0.9</f>
        <v>134</v>
      </c>
      <c r="S53" s="39" t="s">
        <v>8</v>
      </c>
      <c r="T53" s="39" t="s">
        <v>269</v>
      </c>
      <c r="U53" s="16" t="s">
        <v>266</v>
      </c>
      <c r="V53" s="16">
        <v>93.22</v>
      </c>
      <c r="W53" s="16">
        <v>92.26</v>
      </c>
      <c r="X53" s="16">
        <v>94.65</v>
      </c>
      <c r="Y53" s="16">
        <v>19052</v>
      </c>
      <c r="Z53" s="16">
        <v>13993</v>
      </c>
      <c r="AA53" s="16" t="s">
        <v>270</v>
      </c>
      <c r="AB53" s="16" t="s">
        <v>271</v>
      </c>
      <c r="AC53" s="16" t="s">
        <v>73</v>
      </c>
      <c r="AD53" s="330"/>
    </row>
    <row r="54" s="7" customFormat="1" ht="72" spans="1:30">
      <c r="A54" s="289"/>
      <c r="B54" s="277"/>
      <c r="C54" s="290"/>
      <c r="D54" s="229"/>
      <c r="E54" s="271">
        <v>24</v>
      </c>
      <c r="F54" s="16" t="s">
        <v>272</v>
      </c>
      <c r="G54" s="16" t="s">
        <v>163</v>
      </c>
      <c r="H54" s="16" t="s">
        <v>273</v>
      </c>
      <c r="I54" s="16">
        <v>2244.955</v>
      </c>
      <c r="J54" s="24">
        <v>2245.88</v>
      </c>
      <c r="K54" s="16" t="s">
        <v>274</v>
      </c>
      <c r="L54" s="16">
        <f t="shared" si="15"/>
        <v>0.925000000000182</v>
      </c>
      <c r="M54" s="16" t="s">
        <v>66</v>
      </c>
      <c r="N54" s="16">
        <v>8</v>
      </c>
      <c r="O54" s="16" t="s">
        <v>67</v>
      </c>
      <c r="P54" s="16" t="s">
        <v>275</v>
      </c>
      <c r="Q54" s="146">
        <f>L54*120</f>
        <v>111</v>
      </c>
      <c r="R54" s="146">
        <f>Q54*0.9</f>
        <v>100</v>
      </c>
      <c r="S54" s="16" t="s">
        <v>9</v>
      </c>
      <c r="T54" s="305" t="s">
        <v>276</v>
      </c>
      <c r="U54" s="20" t="s">
        <v>277</v>
      </c>
      <c r="V54" s="16"/>
      <c r="W54" s="16"/>
      <c r="X54" s="16"/>
      <c r="Y54" s="16"/>
      <c r="Z54" s="16"/>
      <c r="AA54" s="16"/>
      <c r="AB54" s="16"/>
      <c r="AC54" s="16"/>
      <c r="AD54" s="330"/>
    </row>
    <row r="55" s="7" customFormat="1" ht="72" spans="1:30">
      <c r="A55" s="289"/>
      <c r="B55" s="277"/>
      <c r="C55" s="290"/>
      <c r="D55" s="229"/>
      <c r="E55" s="271"/>
      <c r="F55" s="16" t="s">
        <v>272</v>
      </c>
      <c r="G55" s="16" t="s">
        <v>163</v>
      </c>
      <c r="H55" s="16"/>
      <c r="I55" s="16">
        <v>2247.263</v>
      </c>
      <c r="J55" s="24">
        <v>2248.25</v>
      </c>
      <c r="K55" s="16" t="s">
        <v>274</v>
      </c>
      <c r="L55" s="16">
        <f t="shared" si="15"/>
        <v>0.98700000000008</v>
      </c>
      <c r="M55" s="16" t="s">
        <v>66</v>
      </c>
      <c r="N55" s="16">
        <v>8</v>
      </c>
      <c r="O55" s="16" t="s">
        <v>67</v>
      </c>
      <c r="P55" s="16" t="s">
        <v>278</v>
      </c>
      <c r="Q55" s="146">
        <f>L55*120</f>
        <v>118</v>
      </c>
      <c r="R55" s="146">
        <f>Q55*0.9</f>
        <v>106</v>
      </c>
      <c r="S55" s="16" t="s">
        <v>9</v>
      </c>
      <c r="T55" s="305" t="s">
        <v>279</v>
      </c>
      <c r="U55" s="22"/>
      <c r="V55" s="16"/>
      <c r="W55" s="16"/>
      <c r="X55" s="16"/>
      <c r="Y55" s="16"/>
      <c r="Z55" s="16"/>
      <c r="AA55" s="16"/>
      <c r="AB55" s="16"/>
      <c r="AC55" s="16"/>
      <c r="AD55" s="330"/>
    </row>
    <row r="56" s="7" customFormat="1" ht="59" customHeight="1" spans="1:30">
      <c r="A56" s="20" t="s">
        <v>58</v>
      </c>
      <c r="B56" s="20" t="s">
        <v>280</v>
      </c>
      <c r="C56" s="20" t="s">
        <v>60</v>
      </c>
      <c r="D56" s="291"/>
      <c r="E56" s="286">
        <v>25</v>
      </c>
      <c r="F56" s="20" t="s">
        <v>152</v>
      </c>
      <c r="G56" s="20" t="s">
        <v>281</v>
      </c>
      <c r="H56" s="20" t="s">
        <v>282</v>
      </c>
      <c r="I56" s="16">
        <v>3</v>
      </c>
      <c r="J56" s="16">
        <v>6.8</v>
      </c>
      <c r="K56" s="16" t="s">
        <v>283</v>
      </c>
      <c r="L56" s="16">
        <f t="shared" si="15"/>
        <v>3.8</v>
      </c>
      <c r="M56" s="16" t="s">
        <v>66</v>
      </c>
      <c r="N56" s="16">
        <v>12</v>
      </c>
      <c r="O56" s="16" t="s">
        <v>67</v>
      </c>
      <c r="P56" s="96" t="s">
        <v>284</v>
      </c>
      <c r="Q56" s="146">
        <f>L56*95</f>
        <v>361</v>
      </c>
      <c r="R56" s="146">
        <f>Q56*0.9</f>
        <v>325</v>
      </c>
      <c r="S56" s="16" t="s">
        <v>10</v>
      </c>
      <c r="T56" s="96" t="s">
        <v>285</v>
      </c>
      <c r="U56" s="16" t="s">
        <v>157</v>
      </c>
      <c r="V56" s="16" t="s">
        <v>286</v>
      </c>
      <c r="W56" s="16">
        <v>93.97</v>
      </c>
      <c r="X56" s="16" t="s">
        <v>287</v>
      </c>
      <c r="Y56" s="16">
        <v>13298</v>
      </c>
      <c r="Z56" s="16">
        <v>2047</v>
      </c>
      <c r="AA56" s="16" t="s">
        <v>288</v>
      </c>
      <c r="AB56" s="16" t="s">
        <v>289</v>
      </c>
      <c r="AC56" s="16" t="s">
        <v>73</v>
      </c>
      <c r="AD56" s="330"/>
    </row>
    <row r="57" s="7" customFormat="1" ht="36" customHeight="1" spans="1:30">
      <c r="A57" s="23">
        <v>42</v>
      </c>
      <c r="B57" s="23"/>
      <c r="C57" s="23"/>
      <c r="D57" s="292"/>
      <c r="E57" s="287"/>
      <c r="F57" s="23" t="s">
        <v>152</v>
      </c>
      <c r="G57" s="23" t="s">
        <v>281</v>
      </c>
      <c r="H57" s="23"/>
      <c r="I57" s="16">
        <v>6.8</v>
      </c>
      <c r="J57" s="16">
        <v>8.2</v>
      </c>
      <c r="K57" s="16" t="s">
        <v>290</v>
      </c>
      <c r="L57" s="16">
        <f t="shared" si="15"/>
        <v>1.4</v>
      </c>
      <c r="M57" s="16" t="s">
        <v>66</v>
      </c>
      <c r="N57" s="16">
        <v>12</v>
      </c>
      <c r="O57" s="16" t="s">
        <v>291</v>
      </c>
      <c r="P57" s="20" t="s">
        <v>284</v>
      </c>
      <c r="Q57" s="146">
        <f t="shared" ref="Q57:Q59" si="17">L57*95</f>
        <v>133</v>
      </c>
      <c r="R57" s="146">
        <f t="shared" ref="R57:R74" si="18">Q57*0.9</f>
        <v>120</v>
      </c>
      <c r="S57" s="16" t="s">
        <v>10</v>
      </c>
      <c r="T57" s="16" t="s">
        <v>292</v>
      </c>
      <c r="U57" s="16" t="s">
        <v>157</v>
      </c>
      <c r="V57" s="16" t="s">
        <v>293</v>
      </c>
      <c r="W57" s="16">
        <v>94.62</v>
      </c>
      <c r="X57" s="16" t="s">
        <v>294</v>
      </c>
      <c r="Y57" s="16">
        <v>13298</v>
      </c>
      <c r="Z57" s="16">
        <v>2047</v>
      </c>
      <c r="AA57" s="20" t="s">
        <v>288</v>
      </c>
      <c r="AB57" s="16" t="s">
        <v>289</v>
      </c>
      <c r="AC57" s="16" t="s">
        <v>73</v>
      </c>
      <c r="AD57" s="331"/>
    </row>
    <row r="58" s="7" customFormat="1" ht="36" customHeight="1" spans="1:30">
      <c r="A58" s="23"/>
      <c r="B58" s="23"/>
      <c r="C58" s="23"/>
      <c r="D58" s="292"/>
      <c r="E58" s="287"/>
      <c r="F58" s="23"/>
      <c r="G58" s="23"/>
      <c r="H58" s="23"/>
      <c r="I58" s="16">
        <v>8.2</v>
      </c>
      <c r="J58" s="16">
        <v>10.46</v>
      </c>
      <c r="K58" s="16" t="s">
        <v>295</v>
      </c>
      <c r="L58" s="16">
        <f t="shared" si="15"/>
        <v>2.26</v>
      </c>
      <c r="M58" s="16" t="s">
        <v>66</v>
      </c>
      <c r="N58" s="16">
        <v>12</v>
      </c>
      <c r="O58" s="16" t="s">
        <v>291</v>
      </c>
      <c r="P58" s="23"/>
      <c r="Q58" s="146">
        <f t="shared" si="17"/>
        <v>215</v>
      </c>
      <c r="R58" s="146">
        <f t="shared" si="18"/>
        <v>194</v>
      </c>
      <c r="S58" s="16" t="s">
        <v>10</v>
      </c>
      <c r="T58" s="16" t="s">
        <v>296</v>
      </c>
      <c r="U58" s="16" t="s">
        <v>157</v>
      </c>
      <c r="V58" s="16" t="s">
        <v>297</v>
      </c>
      <c r="W58" s="16">
        <v>92.63</v>
      </c>
      <c r="X58" s="16" t="s">
        <v>298</v>
      </c>
      <c r="Y58" s="16">
        <v>13298</v>
      </c>
      <c r="Z58" s="16">
        <v>2047</v>
      </c>
      <c r="AA58" s="23"/>
      <c r="AB58" s="16" t="s">
        <v>289</v>
      </c>
      <c r="AC58" s="16" t="s">
        <v>73</v>
      </c>
      <c r="AD58" s="332"/>
    </row>
    <row r="59" s="7" customFormat="1" ht="36" customHeight="1" spans="1:30">
      <c r="A59" s="23"/>
      <c r="B59" s="23"/>
      <c r="C59" s="23"/>
      <c r="D59" s="292"/>
      <c r="E59" s="287"/>
      <c r="F59" s="23"/>
      <c r="G59" s="23"/>
      <c r="H59" s="23"/>
      <c r="I59" s="16">
        <v>10.61</v>
      </c>
      <c r="J59" s="16">
        <v>10.75</v>
      </c>
      <c r="K59" s="16" t="s">
        <v>299</v>
      </c>
      <c r="L59" s="16">
        <f t="shared" si="15"/>
        <v>0.140000000000001</v>
      </c>
      <c r="M59" s="16" t="s">
        <v>66</v>
      </c>
      <c r="N59" s="16">
        <v>12</v>
      </c>
      <c r="O59" s="16" t="s">
        <v>291</v>
      </c>
      <c r="P59" s="23"/>
      <c r="Q59" s="146">
        <f t="shared" si="17"/>
        <v>13</v>
      </c>
      <c r="R59" s="146">
        <f t="shared" si="18"/>
        <v>12</v>
      </c>
      <c r="S59" s="16" t="s">
        <v>10</v>
      </c>
      <c r="T59" s="16" t="s">
        <v>300</v>
      </c>
      <c r="U59" s="16" t="s">
        <v>157</v>
      </c>
      <c r="V59" s="16">
        <v>90.22</v>
      </c>
      <c r="W59" s="16">
        <v>88.87</v>
      </c>
      <c r="X59" s="16">
        <v>92.25</v>
      </c>
      <c r="Y59" s="16">
        <v>13298</v>
      </c>
      <c r="Z59" s="16">
        <v>2047</v>
      </c>
      <c r="AA59" s="23"/>
      <c r="AB59" s="16" t="s">
        <v>289</v>
      </c>
      <c r="AC59" s="16" t="s">
        <v>73</v>
      </c>
      <c r="AD59" s="332"/>
    </row>
    <row r="60" s="7" customFormat="1" ht="36" customHeight="1" spans="1:30">
      <c r="A60" s="23"/>
      <c r="B60" s="23"/>
      <c r="C60" s="23"/>
      <c r="D60" s="292"/>
      <c r="E60" s="287"/>
      <c r="F60" s="23"/>
      <c r="G60" s="23"/>
      <c r="H60" s="23"/>
      <c r="I60" s="16">
        <v>11.387</v>
      </c>
      <c r="J60" s="16">
        <v>13.1</v>
      </c>
      <c r="K60" s="16" t="s">
        <v>301</v>
      </c>
      <c r="L60" s="16">
        <f t="shared" si="15"/>
        <v>1.713</v>
      </c>
      <c r="M60" s="16" t="s">
        <v>66</v>
      </c>
      <c r="N60" s="16">
        <v>14</v>
      </c>
      <c r="O60" s="16" t="s">
        <v>291</v>
      </c>
      <c r="P60" s="23"/>
      <c r="Q60" s="146">
        <f>L60*100</f>
        <v>171</v>
      </c>
      <c r="R60" s="146">
        <f t="shared" si="18"/>
        <v>154</v>
      </c>
      <c r="S60" s="16" t="s">
        <v>10</v>
      </c>
      <c r="T60" s="16" t="s">
        <v>300</v>
      </c>
      <c r="U60" s="16" t="s">
        <v>157</v>
      </c>
      <c r="V60" s="16" t="s">
        <v>302</v>
      </c>
      <c r="W60" s="16">
        <v>90.22</v>
      </c>
      <c r="X60" s="16" t="s">
        <v>303</v>
      </c>
      <c r="Y60" s="16">
        <v>13298</v>
      </c>
      <c r="Z60" s="16">
        <v>2047</v>
      </c>
      <c r="AA60" s="23"/>
      <c r="AB60" s="16" t="s">
        <v>304</v>
      </c>
      <c r="AC60" s="16" t="s">
        <v>73</v>
      </c>
      <c r="AD60" s="332"/>
    </row>
    <row r="61" s="7" customFormat="1" ht="36" customHeight="1" spans="1:30">
      <c r="A61" s="23"/>
      <c r="B61" s="23"/>
      <c r="C61" s="23"/>
      <c r="D61" s="292"/>
      <c r="E61" s="287"/>
      <c r="F61" s="23"/>
      <c r="G61" s="23"/>
      <c r="H61" s="23"/>
      <c r="I61" s="16">
        <v>15.9</v>
      </c>
      <c r="J61" s="16">
        <v>18</v>
      </c>
      <c r="K61" s="16" t="s">
        <v>305</v>
      </c>
      <c r="L61" s="16">
        <f t="shared" si="15"/>
        <v>2.1</v>
      </c>
      <c r="M61" s="16" t="s">
        <v>66</v>
      </c>
      <c r="N61" s="16">
        <v>12</v>
      </c>
      <c r="O61" s="16" t="s">
        <v>291</v>
      </c>
      <c r="P61" s="23"/>
      <c r="Q61" s="146">
        <f>L61*90</f>
        <v>189</v>
      </c>
      <c r="R61" s="146">
        <f t="shared" si="18"/>
        <v>170</v>
      </c>
      <c r="S61" s="16" t="s">
        <v>10</v>
      </c>
      <c r="T61" s="16" t="s">
        <v>306</v>
      </c>
      <c r="U61" s="16" t="s">
        <v>157</v>
      </c>
      <c r="V61" s="16" t="s">
        <v>307</v>
      </c>
      <c r="W61" s="16">
        <v>93.43</v>
      </c>
      <c r="X61" s="16" t="s">
        <v>308</v>
      </c>
      <c r="Y61" s="16">
        <v>13298</v>
      </c>
      <c r="Z61" s="16">
        <v>2047</v>
      </c>
      <c r="AA61" s="23"/>
      <c r="AB61" s="16" t="s">
        <v>289</v>
      </c>
      <c r="AC61" s="16" t="s">
        <v>73</v>
      </c>
      <c r="AD61" s="332"/>
    </row>
    <row r="62" s="7" customFormat="1" ht="36" spans="1:30">
      <c r="A62" s="22"/>
      <c r="B62" s="22"/>
      <c r="C62" s="22"/>
      <c r="D62" s="293"/>
      <c r="E62" s="288"/>
      <c r="F62" s="22"/>
      <c r="G62" s="22"/>
      <c r="H62" s="22"/>
      <c r="I62" s="16">
        <v>18</v>
      </c>
      <c r="J62" s="16">
        <v>19.923</v>
      </c>
      <c r="K62" s="16" t="s">
        <v>309</v>
      </c>
      <c r="L62" s="16">
        <v>1.923</v>
      </c>
      <c r="M62" s="16" t="s">
        <v>66</v>
      </c>
      <c r="N62" s="16">
        <v>12</v>
      </c>
      <c r="O62" s="16" t="s">
        <v>291</v>
      </c>
      <c r="P62" s="22"/>
      <c r="Q62" s="146">
        <f>L62*90</f>
        <v>173</v>
      </c>
      <c r="R62" s="146">
        <f t="shared" si="18"/>
        <v>156</v>
      </c>
      <c r="S62" s="16" t="s">
        <v>10</v>
      </c>
      <c r="T62" s="16" t="s">
        <v>310</v>
      </c>
      <c r="U62" s="16" t="s">
        <v>157</v>
      </c>
      <c r="V62" s="16" t="s">
        <v>311</v>
      </c>
      <c r="W62" s="16">
        <v>91.66</v>
      </c>
      <c r="X62" s="16" t="s">
        <v>312</v>
      </c>
      <c r="Y62" s="16">
        <v>13298</v>
      </c>
      <c r="Z62" s="16">
        <v>2047</v>
      </c>
      <c r="AA62" s="22"/>
      <c r="AB62" s="16" t="s">
        <v>289</v>
      </c>
      <c r="AC62" s="16" t="s">
        <v>73</v>
      </c>
      <c r="AD62" s="333"/>
    </row>
    <row r="63" s="7" customFormat="1" ht="24" spans="1:30">
      <c r="A63" s="289"/>
      <c r="B63" s="277"/>
      <c r="C63" s="290"/>
      <c r="D63" s="229"/>
      <c r="E63" s="286">
        <v>26</v>
      </c>
      <c r="F63" s="16" t="s">
        <v>313</v>
      </c>
      <c r="G63" s="16" t="s">
        <v>281</v>
      </c>
      <c r="H63" s="16" t="s">
        <v>314</v>
      </c>
      <c r="I63" s="305">
        <v>19.923</v>
      </c>
      <c r="J63" s="305">
        <v>21.72</v>
      </c>
      <c r="K63" s="308" t="s">
        <v>315</v>
      </c>
      <c r="L63" s="308">
        <f t="shared" ref="L63:L74" si="19">J63-I63</f>
        <v>1.797</v>
      </c>
      <c r="M63" s="308" t="s">
        <v>66</v>
      </c>
      <c r="N63" s="308">
        <v>11.4</v>
      </c>
      <c r="O63" s="16" t="s">
        <v>67</v>
      </c>
      <c r="P63" s="16" t="s">
        <v>316</v>
      </c>
      <c r="Q63" s="146">
        <f t="shared" ref="Q63:Q67" si="20">L63*90</f>
        <v>162</v>
      </c>
      <c r="R63" s="146">
        <f t="shared" si="18"/>
        <v>146</v>
      </c>
      <c r="S63" s="16" t="s">
        <v>10</v>
      </c>
      <c r="T63" s="39" t="s">
        <v>317</v>
      </c>
      <c r="U63" s="16" t="s">
        <v>318</v>
      </c>
      <c r="V63" s="16"/>
      <c r="W63" s="16"/>
      <c r="X63" s="16"/>
      <c r="Y63" s="16"/>
      <c r="Z63" s="16"/>
      <c r="AA63" s="16"/>
      <c r="AB63" s="16"/>
      <c r="AC63" s="16"/>
      <c r="AD63" s="331" t="s">
        <v>319</v>
      </c>
    </row>
    <row r="64" s="7" customFormat="1" ht="24" spans="1:30">
      <c r="A64" s="289"/>
      <c r="B64" s="277"/>
      <c r="C64" s="290"/>
      <c r="D64" s="229"/>
      <c r="E64" s="287"/>
      <c r="F64" s="16"/>
      <c r="G64" s="16"/>
      <c r="H64" s="16"/>
      <c r="I64" s="305">
        <v>22.5</v>
      </c>
      <c r="J64" s="305">
        <v>23</v>
      </c>
      <c r="K64" s="308" t="s">
        <v>315</v>
      </c>
      <c r="L64" s="308">
        <f t="shared" si="19"/>
        <v>0.5</v>
      </c>
      <c r="M64" s="308" t="s">
        <v>66</v>
      </c>
      <c r="N64" s="308">
        <v>11.4</v>
      </c>
      <c r="O64" s="16" t="s">
        <v>67</v>
      </c>
      <c r="P64" s="16" t="s">
        <v>316</v>
      </c>
      <c r="Q64" s="146">
        <f t="shared" si="20"/>
        <v>45</v>
      </c>
      <c r="R64" s="146">
        <f t="shared" si="18"/>
        <v>41</v>
      </c>
      <c r="S64" s="16" t="s">
        <v>10</v>
      </c>
      <c r="T64" s="39"/>
      <c r="U64" s="16" t="s">
        <v>318</v>
      </c>
      <c r="V64" s="16"/>
      <c r="W64" s="16"/>
      <c r="X64" s="16"/>
      <c r="Y64" s="16"/>
      <c r="Z64" s="16"/>
      <c r="AA64" s="16"/>
      <c r="AB64" s="16"/>
      <c r="AC64" s="16"/>
      <c r="AD64" s="332"/>
    </row>
    <row r="65" s="7" customFormat="1" ht="24" spans="1:30">
      <c r="A65" s="289"/>
      <c r="B65" s="277"/>
      <c r="C65" s="290"/>
      <c r="D65" s="229"/>
      <c r="E65" s="287"/>
      <c r="F65" s="16"/>
      <c r="G65" s="16"/>
      <c r="H65" s="16"/>
      <c r="I65" s="305">
        <v>25.3</v>
      </c>
      <c r="J65" s="305">
        <v>28.3</v>
      </c>
      <c r="K65" s="308" t="s">
        <v>315</v>
      </c>
      <c r="L65" s="308">
        <f t="shared" si="19"/>
        <v>3</v>
      </c>
      <c r="M65" s="308" t="s">
        <v>66</v>
      </c>
      <c r="N65" s="308">
        <v>11.4</v>
      </c>
      <c r="O65" s="16" t="s">
        <v>67</v>
      </c>
      <c r="P65" s="16" t="s">
        <v>316</v>
      </c>
      <c r="Q65" s="146">
        <f t="shared" si="20"/>
        <v>270</v>
      </c>
      <c r="R65" s="146">
        <f t="shared" si="18"/>
        <v>243</v>
      </c>
      <c r="S65" s="16" t="s">
        <v>10</v>
      </c>
      <c r="T65" s="39"/>
      <c r="U65" s="16" t="s">
        <v>318</v>
      </c>
      <c r="V65" s="16"/>
      <c r="W65" s="16"/>
      <c r="X65" s="16"/>
      <c r="Y65" s="16"/>
      <c r="Z65" s="16"/>
      <c r="AA65" s="16"/>
      <c r="AB65" s="16"/>
      <c r="AC65" s="16"/>
      <c r="AD65" s="332"/>
    </row>
    <row r="66" s="7" customFormat="1" ht="24" spans="1:30">
      <c r="A66" s="289"/>
      <c r="B66" s="277"/>
      <c r="C66" s="290"/>
      <c r="D66" s="229"/>
      <c r="E66" s="287"/>
      <c r="F66" s="16"/>
      <c r="G66" s="16"/>
      <c r="H66" s="16"/>
      <c r="I66" s="305">
        <v>30</v>
      </c>
      <c r="J66" s="305">
        <v>36</v>
      </c>
      <c r="K66" s="308" t="s">
        <v>320</v>
      </c>
      <c r="L66" s="308">
        <f t="shared" si="19"/>
        <v>6</v>
      </c>
      <c r="M66" s="308" t="s">
        <v>66</v>
      </c>
      <c r="N66" s="308">
        <v>11.4</v>
      </c>
      <c r="O66" s="16" t="s">
        <v>67</v>
      </c>
      <c r="P66" s="16" t="s">
        <v>316</v>
      </c>
      <c r="Q66" s="146">
        <f t="shared" si="20"/>
        <v>540</v>
      </c>
      <c r="R66" s="146">
        <f t="shared" si="18"/>
        <v>486</v>
      </c>
      <c r="S66" s="16" t="s">
        <v>10</v>
      </c>
      <c r="T66" s="39"/>
      <c r="U66" s="16" t="s">
        <v>318</v>
      </c>
      <c r="V66" s="16"/>
      <c r="W66" s="16"/>
      <c r="X66" s="16"/>
      <c r="Y66" s="16"/>
      <c r="Z66" s="16"/>
      <c r="AA66" s="16"/>
      <c r="AB66" s="16"/>
      <c r="AC66" s="16"/>
      <c r="AD66" s="332"/>
    </row>
    <row r="67" s="7" customFormat="1" ht="24" spans="1:30">
      <c r="A67" s="289"/>
      <c r="B67" s="277"/>
      <c r="C67" s="290"/>
      <c r="D67" s="229"/>
      <c r="E67" s="288"/>
      <c r="F67" s="16"/>
      <c r="G67" s="16"/>
      <c r="H67" s="16"/>
      <c r="I67" s="305">
        <v>39</v>
      </c>
      <c r="J67" s="305">
        <v>42.375</v>
      </c>
      <c r="K67" s="308" t="s">
        <v>320</v>
      </c>
      <c r="L67" s="308">
        <f t="shared" si="19"/>
        <v>3.375</v>
      </c>
      <c r="M67" s="308" t="s">
        <v>66</v>
      </c>
      <c r="N67" s="308">
        <v>11.4</v>
      </c>
      <c r="O67" s="16" t="s">
        <v>67</v>
      </c>
      <c r="P67" s="16" t="s">
        <v>316</v>
      </c>
      <c r="Q67" s="146">
        <f t="shared" si="20"/>
        <v>304</v>
      </c>
      <c r="R67" s="146">
        <f t="shared" si="18"/>
        <v>274</v>
      </c>
      <c r="S67" s="16" t="s">
        <v>10</v>
      </c>
      <c r="T67" s="39"/>
      <c r="U67" s="16" t="s">
        <v>318</v>
      </c>
      <c r="V67" s="16"/>
      <c r="W67" s="16"/>
      <c r="X67" s="16"/>
      <c r="Y67" s="16"/>
      <c r="Z67" s="16"/>
      <c r="AA67" s="16"/>
      <c r="AB67" s="16"/>
      <c r="AC67" s="16"/>
      <c r="AD67" s="333"/>
    </row>
    <row r="68" s="7" customFormat="1" ht="50.1" customHeight="1" spans="1:30">
      <c r="A68" s="268" t="s">
        <v>58</v>
      </c>
      <c r="B68" s="277" t="s">
        <v>321</v>
      </c>
      <c r="C68" s="277" t="s">
        <v>60</v>
      </c>
      <c r="D68" s="229"/>
      <c r="E68" s="271">
        <v>27</v>
      </c>
      <c r="F68" s="16" t="s">
        <v>252</v>
      </c>
      <c r="G68" s="16" t="s">
        <v>322</v>
      </c>
      <c r="H68" s="16" t="s">
        <v>323</v>
      </c>
      <c r="I68" s="16">
        <v>16</v>
      </c>
      <c r="J68" s="16">
        <v>16.55</v>
      </c>
      <c r="K68" s="16" t="s">
        <v>324</v>
      </c>
      <c r="L68" s="308">
        <f t="shared" si="19"/>
        <v>0.55</v>
      </c>
      <c r="M68" s="16" t="s">
        <v>66</v>
      </c>
      <c r="N68" s="19">
        <v>15.5</v>
      </c>
      <c r="O68" s="16" t="s">
        <v>67</v>
      </c>
      <c r="P68" s="16" t="s">
        <v>325</v>
      </c>
      <c r="Q68" s="146">
        <f>L68*100</f>
        <v>55</v>
      </c>
      <c r="R68" s="146">
        <f t="shared" si="18"/>
        <v>50</v>
      </c>
      <c r="S68" s="16" t="s">
        <v>10</v>
      </c>
      <c r="T68" s="16" t="s">
        <v>326</v>
      </c>
      <c r="U68" s="16" t="s">
        <v>258</v>
      </c>
      <c r="V68" s="16">
        <v>88</v>
      </c>
      <c r="W68" s="16">
        <v>85</v>
      </c>
      <c r="X68" s="16">
        <v>85</v>
      </c>
      <c r="Y68" s="16">
        <v>2328</v>
      </c>
      <c r="Z68" s="16">
        <v>6094</v>
      </c>
      <c r="AA68" s="16" t="s">
        <v>327</v>
      </c>
      <c r="AB68" s="16" t="s">
        <v>328</v>
      </c>
      <c r="AC68" s="16" t="s">
        <v>73</v>
      </c>
      <c r="AD68" s="331"/>
    </row>
    <row r="69" s="7" customFormat="1" ht="50.1" customHeight="1" spans="1:30">
      <c r="A69" s="268" t="s">
        <v>58</v>
      </c>
      <c r="B69" s="275"/>
      <c r="C69" s="277" t="s">
        <v>60</v>
      </c>
      <c r="D69" s="276"/>
      <c r="E69" s="271">
        <v>132</v>
      </c>
      <c r="F69" s="16"/>
      <c r="G69" s="16"/>
      <c r="H69" s="16"/>
      <c r="I69" s="16">
        <v>16.55</v>
      </c>
      <c r="J69" s="16">
        <v>17</v>
      </c>
      <c r="K69" s="16" t="s">
        <v>324</v>
      </c>
      <c r="L69" s="308">
        <f t="shared" si="19"/>
        <v>0.45</v>
      </c>
      <c r="M69" s="16" t="s">
        <v>66</v>
      </c>
      <c r="N69" s="19">
        <v>9</v>
      </c>
      <c r="O69" s="16" t="s">
        <v>67</v>
      </c>
      <c r="P69" s="16" t="s">
        <v>325</v>
      </c>
      <c r="Q69" s="146">
        <f>L69*85</f>
        <v>38</v>
      </c>
      <c r="R69" s="146">
        <f t="shared" si="18"/>
        <v>34</v>
      </c>
      <c r="S69" s="16" t="s">
        <v>10</v>
      </c>
      <c r="T69" s="16" t="s">
        <v>326</v>
      </c>
      <c r="U69" s="16" t="s">
        <v>258</v>
      </c>
      <c r="V69" s="16">
        <v>88</v>
      </c>
      <c r="W69" s="16">
        <v>85</v>
      </c>
      <c r="X69" s="16">
        <v>85</v>
      </c>
      <c r="Y69" s="16">
        <v>2328</v>
      </c>
      <c r="Z69" s="16">
        <v>6094</v>
      </c>
      <c r="AA69" s="16" t="s">
        <v>327</v>
      </c>
      <c r="AB69" s="16" t="s">
        <v>328</v>
      </c>
      <c r="AC69" s="16" t="s">
        <v>73</v>
      </c>
      <c r="AD69" s="333"/>
    </row>
    <row r="70" s="7" customFormat="1" ht="48" spans="1:30">
      <c r="A70" s="268" t="s">
        <v>58</v>
      </c>
      <c r="B70" s="269" t="s">
        <v>329</v>
      </c>
      <c r="C70" s="274" t="s">
        <v>60</v>
      </c>
      <c r="D70" s="273"/>
      <c r="E70" s="271">
        <v>28</v>
      </c>
      <c r="F70" s="16" t="s">
        <v>330</v>
      </c>
      <c r="G70" s="16" t="s">
        <v>331</v>
      </c>
      <c r="H70" s="16" t="s">
        <v>332</v>
      </c>
      <c r="I70" s="40">
        <v>981.501</v>
      </c>
      <c r="J70" s="40">
        <v>988.501</v>
      </c>
      <c r="K70" s="16" t="s">
        <v>333</v>
      </c>
      <c r="L70" s="308">
        <f t="shared" si="19"/>
        <v>7</v>
      </c>
      <c r="M70" s="16" t="s">
        <v>66</v>
      </c>
      <c r="N70" s="16">
        <v>9</v>
      </c>
      <c r="O70" s="16" t="s">
        <v>67</v>
      </c>
      <c r="P70" s="16" t="s">
        <v>334</v>
      </c>
      <c r="Q70" s="146">
        <f>L70*85</f>
        <v>595</v>
      </c>
      <c r="R70" s="146">
        <f t="shared" si="18"/>
        <v>536</v>
      </c>
      <c r="S70" s="16" t="s">
        <v>10</v>
      </c>
      <c r="T70" s="16" t="s">
        <v>335</v>
      </c>
      <c r="U70" s="16" t="s">
        <v>336</v>
      </c>
      <c r="V70" s="16">
        <v>92.8</v>
      </c>
      <c r="W70" s="16">
        <v>92.6</v>
      </c>
      <c r="X70" s="16">
        <v>93</v>
      </c>
      <c r="Y70" s="16">
        <v>5908</v>
      </c>
      <c r="Z70" s="16">
        <v>449</v>
      </c>
      <c r="AA70" s="16" t="s">
        <v>337</v>
      </c>
      <c r="AB70" s="16" t="s">
        <v>73</v>
      </c>
      <c r="AC70" s="16"/>
      <c r="AD70" s="330"/>
    </row>
    <row r="71" s="7" customFormat="1" ht="24" spans="1:30">
      <c r="A71" s="289"/>
      <c r="B71" s="277"/>
      <c r="C71" s="290"/>
      <c r="D71" s="229"/>
      <c r="E71" s="286">
        <v>29</v>
      </c>
      <c r="F71" s="40" t="s">
        <v>338</v>
      </c>
      <c r="G71" s="40" t="s">
        <v>331</v>
      </c>
      <c r="H71" s="16" t="s">
        <v>339</v>
      </c>
      <c r="I71" s="24">
        <v>662.861</v>
      </c>
      <c r="J71" s="24">
        <v>674.7</v>
      </c>
      <c r="K71" s="16" t="s">
        <v>340</v>
      </c>
      <c r="L71" s="16">
        <f t="shared" si="19"/>
        <v>11.8390000000001</v>
      </c>
      <c r="M71" s="16" t="s">
        <v>66</v>
      </c>
      <c r="N71" s="16">
        <v>10.5</v>
      </c>
      <c r="O71" s="16" t="s">
        <v>67</v>
      </c>
      <c r="P71" s="16" t="s">
        <v>341</v>
      </c>
      <c r="Q71" s="146">
        <f t="shared" ref="Q71:Q73" si="21">L71*85</f>
        <v>1006</v>
      </c>
      <c r="R71" s="146">
        <f t="shared" si="18"/>
        <v>905</v>
      </c>
      <c r="S71" s="16" t="s">
        <v>10</v>
      </c>
      <c r="T71" s="96" t="s">
        <v>342</v>
      </c>
      <c r="U71" s="16" t="s">
        <v>343</v>
      </c>
      <c r="V71" s="16"/>
      <c r="W71" s="16"/>
      <c r="X71" s="16"/>
      <c r="Y71" s="16"/>
      <c r="Z71" s="16"/>
      <c r="AA71" s="16"/>
      <c r="AB71" s="16"/>
      <c r="AC71" s="16"/>
      <c r="AD71" s="331" t="s">
        <v>319</v>
      </c>
    </row>
    <row r="72" s="7" customFormat="1" ht="24" spans="1:30">
      <c r="A72" s="289"/>
      <c r="B72" s="277"/>
      <c r="C72" s="290"/>
      <c r="D72" s="229"/>
      <c r="E72" s="271">
        <v>30</v>
      </c>
      <c r="F72" s="16" t="s">
        <v>194</v>
      </c>
      <c r="G72" s="16" t="s">
        <v>63</v>
      </c>
      <c r="H72" s="16" t="s">
        <v>344</v>
      </c>
      <c r="I72" s="16">
        <v>405.648</v>
      </c>
      <c r="J72" s="16">
        <v>417.826</v>
      </c>
      <c r="K72" s="353" t="s">
        <v>345</v>
      </c>
      <c r="L72" s="16">
        <f t="shared" si="19"/>
        <v>12.178</v>
      </c>
      <c r="M72" s="39" t="s">
        <v>66</v>
      </c>
      <c r="N72" s="39">
        <v>9</v>
      </c>
      <c r="O72" s="16" t="s">
        <v>67</v>
      </c>
      <c r="P72" s="39" t="s">
        <v>346</v>
      </c>
      <c r="Q72" s="146">
        <f t="shared" si="21"/>
        <v>1035</v>
      </c>
      <c r="R72" s="146">
        <f t="shared" si="18"/>
        <v>932</v>
      </c>
      <c r="S72" s="39" t="s">
        <v>10</v>
      </c>
      <c r="T72" s="39" t="s">
        <v>347</v>
      </c>
      <c r="U72" s="16" t="s">
        <v>200</v>
      </c>
      <c r="V72" s="16"/>
      <c r="W72" s="16"/>
      <c r="X72" s="16"/>
      <c r="Y72" s="16"/>
      <c r="Z72" s="16"/>
      <c r="AA72" s="16"/>
      <c r="AB72" s="16"/>
      <c r="AC72" s="16"/>
      <c r="AD72" s="330" t="s">
        <v>348</v>
      </c>
    </row>
    <row r="73" s="7" customFormat="1" ht="27.95" customHeight="1" spans="1:30">
      <c r="A73" s="289"/>
      <c r="B73" s="277"/>
      <c r="C73" s="290"/>
      <c r="D73" s="229"/>
      <c r="E73" s="286">
        <v>31</v>
      </c>
      <c r="F73" s="20" t="s">
        <v>349</v>
      </c>
      <c r="G73" s="20" t="s">
        <v>233</v>
      </c>
      <c r="H73" s="20" t="s">
        <v>350</v>
      </c>
      <c r="I73" s="305">
        <v>2013.546</v>
      </c>
      <c r="J73" s="305">
        <v>2015.66</v>
      </c>
      <c r="K73" s="16" t="s">
        <v>351</v>
      </c>
      <c r="L73" s="16">
        <f t="shared" si="19"/>
        <v>2.11400000000003</v>
      </c>
      <c r="M73" s="26" t="s">
        <v>66</v>
      </c>
      <c r="N73" s="195">
        <v>8.5</v>
      </c>
      <c r="O73" s="16" t="s">
        <v>352</v>
      </c>
      <c r="P73" s="24" t="s">
        <v>353</v>
      </c>
      <c r="Q73" s="146">
        <f t="shared" si="21"/>
        <v>180</v>
      </c>
      <c r="R73" s="177">
        <f t="shared" si="18"/>
        <v>162</v>
      </c>
      <c r="S73" s="305" t="s">
        <v>10</v>
      </c>
      <c r="T73" s="24" t="s">
        <v>354</v>
      </c>
      <c r="U73" s="20" t="s">
        <v>355</v>
      </c>
      <c r="V73" s="22"/>
      <c r="W73" s="22"/>
      <c r="X73" s="22"/>
      <c r="Y73" s="22"/>
      <c r="Z73" s="22"/>
      <c r="AA73" s="22"/>
      <c r="AB73" s="22"/>
      <c r="AC73" s="22"/>
      <c r="AD73" s="331"/>
    </row>
    <row r="74" s="7" customFormat="1" ht="27.95" customHeight="1" spans="1:30">
      <c r="A74" s="334"/>
      <c r="B74" s="335"/>
      <c r="C74" s="336"/>
      <c r="D74" s="337"/>
      <c r="E74" s="338"/>
      <c r="F74" s="339"/>
      <c r="G74" s="339"/>
      <c r="H74" s="339"/>
      <c r="I74" s="354">
        <v>2015.66</v>
      </c>
      <c r="J74" s="354">
        <v>2029.566</v>
      </c>
      <c r="K74" s="351" t="s">
        <v>356</v>
      </c>
      <c r="L74" s="16">
        <f t="shared" si="19"/>
        <v>13.9059999999999</v>
      </c>
      <c r="M74" s="355"/>
      <c r="N74" s="356">
        <v>7</v>
      </c>
      <c r="O74" s="351" t="s">
        <v>352</v>
      </c>
      <c r="P74" s="357"/>
      <c r="Q74" s="146">
        <f>L74*80</f>
        <v>1112</v>
      </c>
      <c r="R74" s="364">
        <f t="shared" si="18"/>
        <v>1001</v>
      </c>
      <c r="S74" s="354" t="s">
        <v>10</v>
      </c>
      <c r="T74" s="357"/>
      <c r="U74" s="339"/>
      <c r="V74" s="351"/>
      <c r="W74" s="351"/>
      <c r="X74" s="351"/>
      <c r="Y74" s="351"/>
      <c r="Z74" s="351"/>
      <c r="AA74" s="351"/>
      <c r="AB74" s="351"/>
      <c r="AC74" s="351"/>
      <c r="AD74" s="373"/>
    </row>
    <row r="75" s="6" customFormat="1" ht="24" customHeight="1" spans="1:30">
      <c r="A75" s="340"/>
      <c r="B75" s="341"/>
      <c r="C75" s="342"/>
      <c r="D75" s="342"/>
      <c r="E75" s="343" t="s">
        <v>357</v>
      </c>
      <c r="F75" s="344"/>
      <c r="G75" s="344"/>
      <c r="H75" s="344"/>
      <c r="I75" s="358" t="s">
        <v>55</v>
      </c>
      <c r="J75" s="358"/>
      <c r="K75" s="358"/>
      <c r="L75" s="358">
        <f>L76+L77+L78</f>
        <v>44.825</v>
      </c>
      <c r="M75" s="344"/>
      <c r="N75" s="359"/>
      <c r="O75" s="344"/>
      <c r="P75" s="344"/>
      <c r="Q75" s="365">
        <f>Q76+Q77+Q78</f>
        <v>10326</v>
      </c>
      <c r="R75" s="365">
        <f>R76+R77+R78</f>
        <v>9295</v>
      </c>
      <c r="S75" s="344"/>
      <c r="T75" s="344"/>
      <c r="U75" s="344"/>
      <c r="V75" s="344"/>
      <c r="W75" s="344"/>
      <c r="X75" s="344"/>
      <c r="Y75" s="344"/>
      <c r="Z75" s="344"/>
      <c r="AA75" s="344"/>
      <c r="AB75" s="344"/>
      <c r="AC75" s="344"/>
      <c r="AD75" s="374"/>
    </row>
    <row r="76" s="6" customFormat="1" ht="24" customHeight="1" spans="1:30">
      <c r="A76" s="287"/>
      <c r="B76" s="23"/>
      <c r="C76" s="228"/>
      <c r="D76" s="228"/>
      <c r="E76" s="345"/>
      <c r="F76" s="15"/>
      <c r="G76" s="15"/>
      <c r="H76" s="15"/>
      <c r="I76" s="360" t="s">
        <v>8</v>
      </c>
      <c r="J76" s="360"/>
      <c r="K76" s="360"/>
      <c r="L76" s="360">
        <f>SUMIF(S79:S98,"大修",L79:L98)</f>
        <v>11.601</v>
      </c>
      <c r="M76" s="15"/>
      <c r="N76" s="194"/>
      <c r="O76" s="15"/>
      <c r="P76" s="15"/>
      <c r="Q76" s="145">
        <f>SUMIF(S79:S98,"大修",Q79:Q98)</f>
        <v>5757</v>
      </c>
      <c r="R76" s="145">
        <f>SUMIF(S79:S98,"大修",R79:R98)</f>
        <v>5182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375"/>
    </row>
    <row r="77" s="6" customFormat="1" ht="24" customHeight="1" spans="1:30">
      <c r="A77" s="287"/>
      <c r="B77" s="23"/>
      <c r="C77" s="228"/>
      <c r="D77" s="228"/>
      <c r="E77" s="345"/>
      <c r="F77" s="15"/>
      <c r="G77" s="15"/>
      <c r="H77" s="15"/>
      <c r="I77" s="360" t="s">
        <v>9</v>
      </c>
      <c r="J77" s="360"/>
      <c r="K77" s="360"/>
      <c r="L77" s="360">
        <f>SUMIF(S79:S98,"中修",L79:L98)</f>
        <v>23.796</v>
      </c>
      <c r="M77" s="15"/>
      <c r="N77" s="194"/>
      <c r="O77" s="15"/>
      <c r="P77" s="15"/>
      <c r="Q77" s="145">
        <f>SUMIF(S79:S98,"中修",Q79:Q98)</f>
        <v>3776</v>
      </c>
      <c r="R77" s="145">
        <f>SUMIF(S79:S98,"中修",R79:R98)</f>
        <v>3399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375"/>
    </row>
    <row r="78" s="6" customFormat="1" ht="24" customHeight="1" spans="1:30">
      <c r="A78" s="287"/>
      <c r="B78" s="23"/>
      <c r="C78" s="228"/>
      <c r="D78" s="228"/>
      <c r="E78" s="345"/>
      <c r="F78" s="15"/>
      <c r="G78" s="15"/>
      <c r="H78" s="15"/>
      <c r="I78" s="360" t="s">
        <v>10</v>
      </c>
      <c r="J78" s="360"/>
      <c r="K78" s="360"/>
      <c r="L78" s="360">
        <f>SUMIF(S79:S98,"预防性",L79:L98)</f>
        <v>9.428</v>
      </c>
      <c r="M78" s="15"/>
      <c r="N78" s="194"/>
      <c r="O78" s="15"/>
      <c r="P78" s="15"/>
      <c r="Q78" s="145">
        <f>SUMIF(S79:S98,"预防性",Q79:Q98)</f>
        <v>793</v>
      </c>
      <c r="R78" s="145">
        <f>SUMIF(S79:S98,"预防性",R79:R98)</f>
        <v>714</v>
      </c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376">
        <f>L78/L75</f>
        <v>0.21</v>
      </c>
    </row>
    <row r="79" s="7" customFormat="1" ht="72" spans="1:30">
      <c r="A79" s="268" t="s">
        <v>58</v>
      </c>
      <c r="B79" s="277" t="s">
        <v>358</v>
      </c>
      <c r="C79" s="277" t="s">
        <v>60</v>
      </c>
      <c r="D79" s="229"/>
      <c r="E79" s="271">
        <v>32</v>
      </c>
      <c r="F79" s="16" t="s">
        <v>261</v>
      </c>
      <c r="G79" s="16" t="s">
        <v>163</v>
      </c>
      <c r="H79" s="16" t="s">
        <v>359</v>
      </c>
      <c r="I79" s="24">
        <v>2190.38</v>
      </c>
      <c r="J79" s="24">
        <v>2195</v>
      </c>
      <c r="K79" s="16" t="s">
        <v>360</v>
      </c>
      <c r="L79" s="16">
        <f t="shared" ref="L79:L94" si="22">J79-I79</f>
        <v>4.61999999999989</v>
      </c>
      <c r="M79" s="16" t="s">
        <v>361</v>
      </c>
      <c r="N79" s="16">
        <v>21</v>
      </c>
      <c r="O79" s="16" t="s">
        <v>67</v>
      </c>
      <c r="P79" s="16" t="s">
        <v>362</v>
      </c>
      <c r="Q79" s="146">
        <f>L79*220</f>
        <v>1016</v>
      </c>
      <c r="R79" s="146">
        <f t="shared" ref="R79:R87" si="23">Q79*0.9</f>
        <v>914</v>
      </c>
      <c r="S79" s="16" t="s">
        <v>9</v>
      </c>
      <c r="T79" s="16" t="s">
        <v>363</v>
      </c>
      <c r="U79" s="16" t="s">
        <v>266</v>
      </c>
      <c r="V79" s="16">
        <v>89.8</v>
      </c>
      <c r="W79" s="16">
        <v>86.78</v>
      </c>
      <c r="X79" s="16">
        <v>94.32</v>
      </c>
      <c r="Y79" s="16">
        <v>20238</v>
      </c>
      <c r="Z79" s="16">
        <v>12173</v>
      </c>
      <c r="AA79" s="16" t="s">
        <v>364</v>
      </c>
      <c r="AB79" s="16" t="s">
        <v>365</v>
      </c>
      <c r="AC79" s="16" t="s">
        <v>73</v>
      </c>
      <c r="AD79" s="330"/>
    </row>
    <row r="80" s="7" customFormat="1" ht="72" spans="1:30">
      <c r="A80" s="268" t="s">
        <v>58</v>
      </c>
      <c r="B80" s="275"/>
      <c r="C80" s="277" t="s">
        <v>60</v>
      </c>
      <c r="D80" s="276"/>
      <c r="E80" s="271">
        <v>134</v>
      </c>
      <c r="F80" s="16"/>
      <c r="G80" s="16"/>
      <c r="H80" s="16"/>
      <c r="I80" s="24">
        <v>2190.43</v>
      </c>
      <c r="J80" s="24">
        <v>2195</v>
      </c>
      <c r="K80" s="16" t="s">
        <v>366</v>
      </c>
      <c r="L80" s="16">
        <f t="shared" si="22"/>
        <v>4.57000000000016</v>
      </c>
      <c r="M80" s="16" t="s">
        <v>361</v>
      </c>
      <c r="N80" s="16">
        <v>21</v>
      </c>
      <c r="O80" s="16" t="s">
        <v>67</v>
      </c>
      <c r="P80" s="16" t="s">
        <v>362</v>
      </c>
      <c r="Q80" s="146">
        <f>L80*220</f>
        <v>1005</v>
      </c>
      <c r="R80" s="146">
        <f t="shared" si="23"/>
        <v>905</v>
      </c>
      <c r="S80" s="16" t="s">
        <v>9</v>
      </c>
      <c r="T80" s="16" t="s">
        <v>363</v>
      </c>
      <c r="U80" s="16" t="s">
        <v>266</v>
      </c>
      <c r="V80" s="16">
        <v>82.98</v>
      </c>
      <c r="W80" s="16">
        <v>79.81</v>
      </c>
      <c r="X80" s="16">
        <v>88.66</v>
      </c>
      <c r="Y80" s="16">
        <v>20238</v>
      </c>
      <c r="Z80" s="16">
        <v>12173</v>
      </c>
      <c r="AA80" s="16" t="s">
        <v>364</v>
      </c>
      <c r="AB80" s="16" t="s">
        <v>365</v>
      </c>
      <c r="AC80" s="16" t="s">
        <v>73</v>
      </c>
      <c r="AD80" s="330"/>
    </row>
    <row r="81" s="7" customFormat="1" ht="51.95" customHeight="1" spans="1:30">
      <c r="A81" s="268" t="s">
        <v>58</v>
      </c>
      <c r="B81" s="275" t="s">
        <v>367</v>
      </c>
      <c r="C81" s="274" t="s">
        <v>60</v>
      </c>
      <c r="D81" s="273" t="s">
        <v>368</v>
      </c>
      <c r="E81" s="271">
        <v>135</v>
      </c>
      <c r="F81" s="16"/>
      <c r="G81" s="16"/>
      <c r="H81" s="16"/>
      <c r="I81" s="24">
        <v>2230.3</v>
      </c>
      <c r="J81" s="24">
        <v>2234.4</v>
      </c>
      <c r="K81" s="16" t="s">
        <v>369</v>
      </c>
      <c r="L81" s="16">
        <f t="shared" si="22"/>
        <v>4.09999999999991</v>
      </c>
      <c r="M81" s="16" t="s">
        <v>66</v>
      </c>
      <c r="N81" s="16">
        <v>12</v>
      </c>
      <c r="O81" s="16" t="s">
        <v>67</v>
      </c>
      <c r="P81" s="16" t="s">
        <v>370</v>
      </c>
      <c r="Q81" s="146">
        <f>L81*120</f>
        <v>492</v>
      </c>
      <c r="R81" s="146">
        <f t="shared" si="23"/>
        <v>443</v>
      </c>
      <c r="S81" s="96" t="s">
        <v>9</v>
      </c>
      <c r="T81" s="16" t="s">
        <v>371</v>
      </c>
      <c r="U81" s="16" t="s">
        <v>266</v>
      </c>
      <c r="V81" s="16">
        <v>93.98</v>
      </c>
      <c r="W81" s="16">
        <v>93.26</v>
      </c>
      <c r="X81" s="16">
        <v>95.06</v>
      </c>
      <c r="Y81" s="16">
        <v>16918</v>
      </c>
      <c r="Z81" s="16">
        <v>12911</v>
      </c>
      <c r="AA81" s="16" t="s">
        <v>364</v>
      </c>
      <c r="AB81" s="16" t="s">
        <v>289</v>
      </c>
      <c r="AC81" s="16" t="s">
        <v>73</v>
      </c>
      <c r="AD81" s="330"/>
    </row>
    <row r="82" s="7" customFormat="1" ht="48" spans="1:30">
      <c r="A82" s="289"/>
      <c r="B82" s="277"/>
      <c r="C82" s="346"/>
      <c r="D82" s="229"/>
      <c r="E82" s="286">
        <v>33</v>
      </c>
      <c r="F82" s="20" t="s">
        <v>272</v>
      </c>
      <c r="G82" s="20" t="s">
        <v>163</v>
      </c>
      <c r="H82" s="347" t="s">
        <v>372</v>
      </c>
      <c r="I82" s="24">
        <v>2279.885</v>
      </c>
      <c r="J82" s="24">
        <v>2281</v>
      </c>
      <c r="K82" s="24" t="s">
        <v>373</v>
      </c>
      <c r="L82" s="24">
        <f t="shared" si="22"/>
        <v>1.115</v>
      </c>
      <c r="M82" s="24" t="s">
        <v>361</v>
      </c>
      <c r="N82" s="146">
        <v>17</v>
      </c>
      <c r="O82" s="16" t="s">
        <v>67</v>
      </c>
      <c r="P82" s="24" t="s">
        <v>374</v>
      </c>
      <c r="Q82" s="146">
        <f>L82*700</f>
        <v>781</v>
      </c>
      <c r="R82" s="146">
        <f t="shared" si="23"/>
        <v>703</v>
      </c>
      <c r="S82" s="24" t="s">
        <v>8</v>
      </c>
      <c r="T82" s="24" t="s">
        <v>375</v>
      </c>
      <c r="U82" s="26" t="s">
        <v>277</v>
      </c>
      <c r="V82" s="233"/>
      <c r="W82" s="233"/>
      <c r="X82" s="233"/>
      <c r="Y82" s="233"/>
      <c r="Z82" s="233"/>
      <c r="AA82" s="233"/>
      <c r="AB82" s="233"/>
      <c r="AC82" s="233"/>
      <c r="AD82" s="331"/>
    </row>
    <row r="83" s="7" customFormat="1" ht="60" spans="1:30">
      <c r="A83" s="289"/>
      <c r="B83" s="277"/>
      <c r="C83" s="290"/>
      <c r="D83" s="229"/>
      <c r="E83" s="288"/>
      <c r="F83" s="22"/>
      <c r="G83" s="22"/>
      <c r="H83" s="348"/>
      <c r="I83" s="24">
        <v>2307</v>
      </c>
      <c r="J83" s="24">
        <v>2309.346</v>
      </c>
      <c r="K83" s="16" t="s">
        <v>376</v>
      </c>
      <c r="L83" s="16">
        <f t="shared" si="22"/>
        <v>2.346</v>
      </c>
      <c r="M83" s="16" t="s">
        <v>361</v>
      </c>
      <c r="N83" s="16">
        <v>17</v>
      </c>
      <c r="O83" s="16" t="s">
        <v>67</v>
      </c>
      <c r="P83" s="16" t="s">
        <v>377</v>
      </c>
      <c r="Q83" s="146">
        <f>L83*700</f>
        <v>1642</v>
      </c>
      <c r="R83" s="146">
        <f t="shared" si="23"/>
        <v>1478</v>
      </c>
      <c r="S83" s="24" t="s">
        <v>8</v>
      </c>
      <c r="T83" s="305" t="s">
        <v>378</v>
      </c>
      <c r="U83" s="64"/>
      <c r="V83" s="16"/>
      <c r="W83" s="16"/>
      <c r="X83" s="16"/>
      <c r="Y83" s="16"/>
      <c r="Z83" s="16"/>
      <c r="AA83" s="16"/>
      <c r="AB83" s="16"/>
      <c r="AC83" s="16"/>
      <c r="AD83" s="333"/>
    </row>
    <row r="84" s="7" customFormat="1" ht="60" spans="1:30">
      <c r="A84" s="268" t="s">
        <v>58</v>
      </c>
      <c r="B84" s="269" t="s">
        <v>379</v>
      </c>
      <c r="C84" s="272" t="s">
        <v>60</v>
      </c>
      <c r="D84" s="281"/>
      <c r="E84" s="271">
        <v>34</v>
      </c>
      <c r="F84" s="16" t="s">
        <v>330</v>
      </c>
      <c r="G84" s="16" t="s">
        <v>331</v>
      </c>
      <c r="H84" s="16" t="s">
        <v>380</v>
      </c>
      <c r="I84" s="16">
        <v>1006.18</v>
      </c>
      <c r="J84" s="16">
        <v>1013.655</v>
      </c>
      <c r="K84" s="16" t="s">
        <v>381</v>
      </c>
      <c r="L84" s="16">
        <f t="shared" si="22"/>
        <v>7.47500000000002</v>
      </c>
      <c r="M84" s="16" t="s">
        <v>66</v>
      </c>
      <c r="N84" s="16">
        <v>9</v>
      </c>
      <c r="O84" s="16" t="s">
        <v>67</v>
      </c>
      <c r="P84" s="16" t="s">
        <v>382</v>
      </c>
      <c r="Q84" s="146">
        <f>L84*120</f>
        <v>897</v>
      </c>
      <c r="R84" s="146">
        <f t="shared" si="23"/>
        <v>807</v>
      </c>
      <c r="S84" s="16" t="s">
        <v>9</v>
      </c>
      <c r="T84" s="16" t="s">
        <v>383</v>
      </c>
      <c r="U84" s="16" t="s">
        <v>336</v>
      </c>
      <c r="V84" s="16">
        <v>82</v>
      </c>
      <c r="W84" s="16">
        <v>82.8</v>
      </c>
      <c r="X84" s="16">
        <v>82.5</v>
      </c>
      <c r="Y84" s="16">
        <v>2088</v>
      </c>
      <c r="Z84" s="16">
        <v>461</v>
      </c>
      <c r="AA84" s="16" t="s">
        <v>384</v>
      </c>
      <c r="AB84" s="16" t="s">
        <v>385</v>
      </c>
      <c r="AC84" s="16"/>
      <c r="AD84" s="330"/>
    </row>
    <row r="85" s="7" customFormat="1" ht="54.95" customHeight="1" spans="1:30">
      <c r="A85" s="268" t="s">
        <v>58</v>
      </c>
      <c r="B85" s="277" t="s">
        <v>386</v>
      </c>
      <c r="C85" s="277" t="s">
        <v>60</v>
      </c>
      <c r="D85" s="280"/>
      <c r="E85" s="286">
        <v>35</v>
      </c>
      <c r="F85" s="20" t="s">
        <v>338</v>
      </c>
      <c r="G85" s="20" t="s">
        <v>331</v>
      </c>
      <c r="H85" s="20" t="s">
        <v>387</v>
      </c>
      <c r="I85" s="24">
        <v>710.26</v>
      </c>
      <c r="J85" s="24">
        <v>712</v>
      </c>
      <c r="K85" s="16" t="s">
        <v>388</v>
      </c>
      <c r="L85" s="16">
        <f t="shared" si="22"/>
        <v>1.74000000000001</v>
      </c>
      <c r="M85" s="16" t="s">
        <v>66</v>
      </c>
      <c r="N85" s="161" t="s">
        <v>389</v>
      </c>
      <c r="O85" s="16" t="s">
        <v>67</v>
      </c>
      <c r="P85" s="16" t="s">
        <v>341</v>
      </c>
      <c r="Q85" s="146">
        <f>L85*450</f>
        <v>783</v>
      </c>
      <c r="R85" s="146">
        <f t="shared" si="23"/>
        <v>705</v>
      </c>
      <c r="S85" s="16" t="s">
        <v>8</v>
      </c>
      <c r="T85" s="16" t="s">
        <v>390</v>
      </c>
      <c r="U85" s="16" t="s">
        <v>343</v>
      </c>
      <c r="V85" s="16">
        <v>91.1</v>
      </c>
      <c r="W85" s="16">
        <v>88.59</v>
      </c>
      <c r="X85" s="16">
        <v>94.87</v>
      </c>
      <c r="Y85" s="16">
        <v>5737</v>
      </c>
      <c r="Z85" s="16">
        <v>775</v>
      </c>
      <c r="AA85" s="16" t="s">
        <v>391</v>
      </c>
      <c r="AB85" s="16" t="s">
        <v>289</v>
      </c>
      <c r="AC85" s="16" t="s">
        <v>73</v>
      </c>
      <c r="AD85" s="330"/>
    </row>
    <row r="86" s="7" customFormat="1" ht="71.1" customHeight="1" spans="1:30">
      <c r="A86" s="268" t="s">
        <v>58</v>
      </c>
      <c r="B86" s="275"/>
      <c r="C86" s="277" t="s">
        <v>60</v>
      </c>
      <c r="D86" s="273"/>
      <c r="E86" s="288"/>
      <c r="F86" s="22"/>
      <c r="G86" s="22"/>
      <c r="H86" s="22"/>
      <c r="I86" s="24">
        <v>774.24</v>
      </c>
      <c r="J86" s="24">
        <v>776.04</v>
      </c>
      <c r="K86" s="16" t="s">
        <v>392</v>
      </c>
      <c r="L86" s="16">
        <f t="shared" si="22"/>
        <v>1.79999999999995</v>
      </c>
      <c r="M86" s="16" t="s">
        <v>66</v>
      </c>
      <c r="N86" s="16">
        <v>15</v>
      </c>
      <c r="O86" s="16" t="s">
        <v>67</v>
      </c>
      <c r="P86" s="16" t="s">
        <v>393</v>
      </c>
      <c r="Q86" s="146">
        <f>L86*420</f>
        <v>756</v>
      </c>
      <c r="R86" s="146">
        <f t="shared" si="23"/>
        <v>680</v>
      </c>
      <c r="S86" s="16" t="s">
        <v>8</v>
      </c>
      <c r="T86" s="16" t="s">
        <v>394</v>
      </c>
      <c r="U86" s="16" t="s">
        <v>343</v>
      </c>
      <c r="V86" s="16">
        <v>86.89</v>
      </c>
      <c r="W86" s="16">
        <v>86.64</v>
      </c>
      <c r="X86" s="16">
        <v>87.27</v>
      </c>
      <c r="Y86" s="16">
        <v>11937</v>
      </c>
      <c r="Z86" s="16">
        <v>1893</v>
      </c>
      <c r="AA86" s="16" t="s">
        <v>391</v>
      </c>
      <c r="AB86" s="16" t="s">
        <v>395</v>
      </c>
      <c r="AC86" s="16" t="s">
        <v>73</v>
      </c>
      <c r="AD86" s="330"/>
    </row>
    <row r="87" s="7" customFormat="1" ht="39.95" customHeight="1" spans="1:30">
      <c r="A87" s="268"/>
      <c r="B87" s="269"/>
      <c r="C87" s="272"/>
      <c r="D87" s="281"/>
      <c r="E87" s="286">
        <v>36</v>
      </c>
      <c r="F87" s="20" t="s">
        <v>313</v>
      </c>
      <c r="G87" s="20" t="s">
        <v>396</v>
      </c>
      <c r="H87" s="20" t="s">
        <v>397</v>
      </c>
      <c r="I87" s="305">
        <v>2032.848</v>
      </c>
      <c r="J87" s="305">
        <f>I87+0.5</f>
        <v>2033.348</v>
      </c>
      <c r="K87" s="305" t="s">
        <v>398</v>
      </c>
      <c r="L87" s="16">
        <f t="shared" si="22"/>
        <v>0.5</v>
      </c>
      <c r="M87" s="305" t="s">
        <v>66</v>
      </c>
      <c r="N87" s="305">
        <v>11.5</v>
      </c>
      <c r="O87" s="16" t="s">
        <v>67</v>
      </c>
      <c r="P87" s="305" t="s">
        <v>399</v>
      </c>
      <c r="Q87" s="146">
        <f>L87*400</f>
        <v>200</v>
      </c>
      <c r="R87" s="146">
        <f t="shared" si="23"/>
        <v>180</v>
      </c>
      <c r="S87" s="305" t="s">
        <v>8</v>
      </c>
      <c r="T87" s="366" t="s">
        <v>400</v>
      </c>
      <c r="U87" s="20" t="s">
        <v>318</v>
      </c>
      <c r="V87" s="16">
        <v>91.7</v>
      </c>
      <c r="W87" s="16">
        <v>90.84</v>
      </c>
      <c r="X87" s="16">
        <v>93</v>
      </c>
      <c r="Y87" s="16">
        <v>15412</v>
      </c>
      <c r="Z87" s="16">
        <f>510+542+344</f>
        <v>1396</v>
      </c>
      <c r="AA87" s="16" t="s">
        <v>401</v>
      </c>
      <c r="AB87" s="16" t="s">
        <v>402</v>
      </c>
      <c r="AC87" s="16" t="s">
        <v>73</v>
      </c>
      <c r="AD87" s="331"/>
    </row>
    <row r="88" s="7" customFormat="1" ht="39.95" customHeight="1" spans="1:30">
      <c r="A88" s="268"/>
      <c r="B88" s="269"/>
      <c r="C88" s="272"/>
      <c r="D88" s="281"/>
      <c r="E88" s="287"/>
      <c r="F88" s="23"/>
      <c r="G88" s="23"/>
      <c r="H88" s="23"/>
      <c r="I88" s="305">
        <v>2036.5</v>
      </c>
      <c r="J88" s="305">
        <v>2037.5</v>
      </c>
      <c r="K88" s="305" t="s">
        <v>398</v>
      </c>
      <c r="L88" s="16">
        <f t="shared" si="22"/>
        <v>1</v>
      </c>
      <c r="M88" s="305" t="s">
        <v>66</v>
      </c>
      <c r="N88" s="305">
        <v>11.5</v>
      </c>
      <c r="O88" s="16" t="s">
        <v>67</v>
      </c>
      <c r="P88" s="305" t="s">
        <v>399</v>
      </c>
      <c r="Q88" s="146">
        <f t="shared" ref="Q88:Q89" si="24">L88*400</f>
        <v>400</v>
      </c>
      <c r="R88" s="146">
        <f t="shared" ref="R88:R93" si="25">Q88*0.9</f>
        <v>360</v>
      </c>
      <c r="S88" s="305" t="s">
        <v>8</v>
      </c>
      <c r="T88" s="367"/>
      <c r="U88" s="23"/>
      <c r="V88" s="16"/>
      <c r="W88" s="16"/>
      <c r="X88" s="16"/>
      <c r="Y88" s="16"/>
      <c r="Z88" s="16"/>
      <c r="AA88" s="16"/>
      <c r="AB88" s="16"/>
      <c r="AC88" s="16"/>
      <c r="AD88" s="332"/>
    </row>
    <row r="89" s="7" customFormat="1" ht="39.95" customHeight="1" spans="1:30">
      <c r="A89" s="268"/>
      <c r="B89" s="269"/>
      <c r="C89" s="272"/>
      <c r="D89" s="281"/>
      <c r="E89" s="288"/>
      <c r="F89" s="22"/>
      <c r="G89" s="22"/>
      <c r="H89" s="22"/>
      <c r="I89" s="305">
        <v>2040.497</v>
      </c>
      <c r="J89" s="305">
        <v>2041.497</v>
      </c>
      <c r="K89" s="305" t="s">
        <v>398</v>
      </c>
      <c r="L89" s="16">
        <f t="shared" si="22"/>
        <v>1</v>
      </c>
      <c r="M89" s="305" t="s">
        <v>66</v>
      </c>
      <c r="N89" s="305">
        <v>11.5</v>
      </c>
      <c r="O89" s="16" t="s">
        <v>67</v>
      </c>
      <c r="P89" s="305" t="s">
        <v>399</v>
      </c>
      <c r="Q89" s="146">
        <f t="shared" si="24"/>
        <v>400</v>
      </c>
      <c r="R89" s="146">
        <f t="shared" si="25"/>
        <v>360</v>
      </c>
      <c r="S89" s="305" t="s">
        <v>8</v>
      </c>
      <c r="T89" s="368"/>
      <c r="U89" s="22"/>
      <c r="V89" s="16"/>
      <c r="W89" s="16"/>
      <c r="X89" s="16"/>
      <c r="Y89" s="16"/>
      <c r="Z89" s="16"/>
      <c r="AA89" s="16"/>
      <c r="AB89" s="16"/>
      <c r="AC89" s="16"/>
      <c r="AD89" s="333"/>
    </row>
    <row r="90" s="7" customFormat="1" ht="36" spans="1:30">
      <c r="A90" s="268" t="s">
        <v>58</v>
      </c>
      <c r="B90" s="269" t="s">
        <v>403</v>
      </c>
      <c r="C90" s="272" t="s">
        <v>60</v>
      </c>
      <c r="D90" s="273" t="s">
        <v>404</v>
      </c>
      <c r="E90" s="271">
        <v>37</v>
      </c>
      <c r="F90" s="16" t="s">
        <v>152</v>
      </c>
      <c r="G90" s="16" t="s">
        <v>396</v>
      </c>
      <c r="H90" s="16" t="s">
        <v>405</v>
      </c>
      <c r="I90" s="16">
        <v>1974.9</v>
      </c>
      <c r="J90" s="16">
        <v>1975.05</v>
      </c>
      <c r="K90" s="16" t="s">
        <v>406</v>
      </c>
      <c r="L90" s="16">
        <f t="shared" si="22"/>
        <v>0.149999999999864</v>
      </c>
      <c r="M90" s="16" t="s">
        <v>361</v>
      </c>
      <c r="N90" s="16">
        <v>23</v>
      </c>
      <c r="O90" s="16" t="s">
        <v>67</v>
      </c>
      <c r="P90" s="16" t="s">
        <v>407</v>
      </c>
      <c r="Q90" s="146">
        <f>L90*700</f>
        <v>105</v>
      </c>
      <c r="R90" s="146">
        <f t="shared" si="25"/>
        <v>95</v>
      </c>
      <c r="S90" s="16" t="s">
        <v>8</v>
      </c>
      <c r="T90" s="16" t="s">
        <v>408</v>
      </c>
      <c r="U90" s="16" t="s">
        <v>157</v>
      </c>
      <c r="V90" s="317">
        <v>85.97</v>
      </c>
      <c r="W90" s="317">
        <v>91.3</v>
      </c>
      <c r="X90" s="317">
        <v>88.13</v>
      </c>
      <c r="Y90" s="16">
        <v>7387</v>
      </c>
      <c r="Z90" s="16">
        <v>1528</v>
      </c>
      <c r="AA90" s="16" t="s">
        <v>409</v>
      </c>
      <c r="AB90" s="16" t="s">
        <v>410</v>
      </c>
      <c r="AC90" s="16" t="s">
        <v>73</v>
      </c>
      <c r="AD90" s="330"/>
    </row>
    <row r="91" s="7" customFormat="1" ht="60" spans="1:30">
      <c r="A91" s="268" t="s">
        <v>58</v>
      </c>
      <c r="B91" s="269" t="s">
        <v>411</v>
      </c>
      <c r="C91" s="272" t="s">
        <v>60</v>
      </c>
      <c r="D91" s="273" t="s">
        <v>404</v>
      </c>
      <c r="E91" s="271">
        <v>38</v>
      </c>
      <c r="F91" s="16" t="s">
        <v>152</v>
      </c>
      <c r="G91" s="16" t="s">
        <v>281</v>
      </c>
      <c r="H91" s="16" t="s">
        <v>412</v>
      </c>
      <c r="I91" s="16">
        <v>10.46</v>
      </c>
      <c r="J91" s="16">
        <v>10.61</v>
      </c>
      <c r="K91" s="16" t="s">
        <v>299</v>
      </c>
      <c r="L91" s="16">
        <f t="shared" si="22"/>
        <v>0.149999999999999</v>
      </c>
      <c r="M91" s="16" t="s">
        <v>66</v>
      </c>
      <c r="N91" s="16">
        <v>12</v>
      </c>
      <c r="O91" s="16" t="s">
        <v>67</v>
      </c>
      <c r="P91" s="16" t="s">
        <v>284</v>
      </c>
      <c r="Q91" s="146">
        <f>L91*400</f>
        <v>60</v>
      </c>
      <c r="R91" s="146">
        <f t="shared" si="25"/>
        <v>54</v>
      </c>
      <c r="S91" s="16" t="s">
        <v>8</v>
      </c>
      <c r="T91" s="369" t="s">
        <v>413</v>
      </c>
      <c r="U91" s="16" t="s">
        <v>157</v>
      </c>
      <c r="V91" s="16">
        <v>90.22</v>
      </c>
      <c r="W91" s="16">
        <v>88.87</v>
      </c>
      <c r="X91" s="16">
        <v>92.25</v>
      </c>
      <c r="Y91" s="16">
        <v>13298</v>
      </c>
      <c r="Z91" s="16">
        <v>2047</v>
      </c>
      <c r="AA91" s="16" t="s">
        <v>288</v>
      </c>
      <c r="AB91" s="16" t="s">
        <v>289</v>
      </c>
      <c r="AC91" s="16" t="s">
        <v>73</v>
      </c>
      <c r="AD91" s="330"/>
    </row>
    <row r="92" s="7" customFormat="1" ht="60" spans="1:30">
      <c r="A92" s="289" t="s">
        <v>58</v>
      </c>
      <c r="B92" s="277" t="s">
        <v>414</v>
      </c>
      <c r="C92" s="290" t="s">
        <v>60</v>
      </c>
      <c r="D92" s="229"/>
      <c r="E92" s="271">
        <v>39</v>
      </c>
      <c r="F92" s="16" t="s">
        <v>261</v>
      </c>
      <c r="G92" s="16" t="s">
        <v>415</v>
      </c>
      <c r="H92" s="16" t="s">
        <v>416</v>
      </c>
      <c r="I92" s="24">
        <v>465.969</v>
      </c>
      <c r="J92" s="24">
        <v>468.9</v>
      </c>
      <c r="K92" s="16" t="s">
        <v>417</v>
      </c>
      <c r="L92" s="16">
        <f t="shared" si="22"/>
        <v>2.93099999999998</v>
      </c>
      <c r="M92" s="16" t="s">
        <v>66</v>
      </c>
      <c r="N92" s="16">
        <v>9</v>
      </c>
      <c r="O92" s="16" t="s">
        <v>67</v>
      </c>
      <c r="P92" s="16" t="s">
        <v>418</v>
      </c>
      <c r="Q92" s="146">
        <f>L92*120</f>
        <v>352</v>
      </c>
      <c r="R92" s="146">
        <f t="shared" si="25"/>
        <v>317</v>
      </c>
      <c r="S92" s="16" t="s">
        <v>9</v>
      </c>
      <c r="T92" s="16" t="s">
        <v>419</v>
      </c>
      <c r="U92" s="16" t="s">
        <v>266</v>
      </c>
      <c r="V92" s="16">
        <v>87.31</v>
      </c>
      <c r="W92" s="16">
        <v>81.33</v>
      </c>
      <c r="X92" s="16">
        <v>96.26</v>
      </c>
      <c r="Y92" s="16">
        <v>9472</v>
      </c>
      <c r="Z92" s="16">
        <v>7152</v>
      </c>
      <c r="AA92" s="16" t="s">
        <v>364</v>
      </c>
      <c r="AB92" s="16" t="s">
        <v>420</v>
      </c>
      <c r="AC92" s="16" t="s">
        <v>73</v>
      </c>
      <c r="AD92" s="330"/>
    </row>
    <row r="93" s="7" customFormat="1" ht="32.1" customHeight="1" spans="1:30">
      <c r="A93" s="268" t="s">
        <v>58</v>
      </c>
      <c r="B93" s="277" t="s">
        <v>421</v>
      </c>
      <c r="C93" s="346" t="s">
        <v>422</v>
      </c>
      <c r="D93" s="229"/>
      <c r="E93" s="285">
        <v>40</v>
      </c>
      <c r="F93" s="233" t="s">
        <v>423</v>
      </c>
      <c r="G93" s="233" t="s">
        <v>415</v>
      </c>
      <c r="H93" s="233" t="s">
        <v>424</v>
      </c>
      <c r="I93" s="361">
        <v>591.3</v>
      </c>
      <c r="J93" s="361">
        <v>592.6</v>
      </c>
      <c r="K93" s="233" t="s">
        <v>425</v>
      </c>
      <c r="L93" s="16">
        <f t="shared" si="22"/>
        <v>1.30000000000007</v>
      </c>
      <c r="M93" s="233" t="s">
        <v>66</v>
      </c>
      <c r="N93" s="233">
        <v>9</v>
      </c>
      <c r="O93" s="16" t="s">
        <v>67</v>
      </c>
      <c r="P93" s="362" t="s">
        <v>426</v>
      </c>
      <c r="Q93" s="370">
        <f>L93*85</f>
        <v>111</v>
      </c>
      <c r="R93" s="370">
        <f t="shared" si="25"/>
        <v>100</v>
      </c>
      <c r="S93" s="362" t="s">
        <v>10</v>
      </c>
      <c r="T93" s="362" t="s">
        <v>427</v>
      </c>
      <c r="U93" s="233" t="s">
        <v>428</v>
      </c>
      <c r="V93" s="233">
        <v>90.8</v>
      </c>
      <c r="W93" s="233">
        <v>89.5</v>
      </c>
      <c r="X93" s="233">
        <v>92.7</v>
      </c>
      <c r="Y93" s="233">
        <v>10775</v>
      </c>
      <c r="Z93" s="233">
        <f>1179+530+1749</f>
        <v>3458</v>
      </c>
      <c r="AA93" s="233" t="s">
        <v>429</v>
      </c>
      <c r="AB93" s="233" t="s">
        <v>430</v>
      </c>
      <c r="AC93" s="233" t="s">
        <v>73</v>
      </c>
      <c r="AD93" s="377"/>
    </row>
    <row r="94" s="7" customFormat="1" ht="32.1" customHeight="1" spans="1:30">
      <c r="A94" s="268" t="s">
        <v>58</v>
      </c>
      <c r="B94" s="275"/>
      <c r="C94" s="274" t="s">
        <v>422</v>
      </c>
      <c r="D94" s="273"/>
      <c r="E94" s="285">
        <v>109</v>
      </c>
      <c r="F94" s="233" t="s">
        <v>431</v>
      </c>
      <c r="G94" s="233" t="s">
        <v>415</v>
      </c>
      <c r="H94" s="233"/>
      <c r="I94" s="361">
        <v>592.95</v>
      </c>
      <c r="J94" s="361">
        <v>596.978</v>
      </c>
      <c r="K94" s="233" t="s">
        <v>432</v>
      </c>
      <c r="L94" s="16">
        <f t="shared" si="22"/>
        <v>4.02799999999991</v>
      </c>
      <c r="M94" s="233" t="s">
        <v>66</v>
      </c>
      <c r="N94" s="233">
        <v>9</v>
      </c>
      <c r="O94" s="16" t="s">
        <v>67</v>
      </c>
      <c r="P94" s="362"/>
      <c r="Q94" s="370">
        <f>L94*85</f>
        <v>342</v>
      </c>
      <c r="R94" s="370">
        <f t="shared" ref="R94:R98" si="26">Q94*0.9</f>
        <v>308</v>
      </c>
      <c r="S94" s="362" t="s">
        <v>10</v>
      </c>
      <c r="T94" s="362" t="s">
        <v>433</v>
      </c>
      <c r="U94" s="233" t="s">
        <v>428</v>
      </c>
      <c r="V94" s="233">
        <v>89.8</v>
      </c>
      <c r="W94" s="233">
        <v>87.8</v>
      </c>
      <c r="X94" s="233">
        <v>92.7</v>
      </c>
      <c r="Y94" s="233">
        <v>10775</v>
      </c>
      <c r="Z94" s="233">
        <f>1179+530+1749</f>
        <v>3458</v>
      </c>
      <c r="AA94" s="233" t="s">
        <v>429</v>
      </c>
      <c r="AB94" s="233" t="s">
        <v>430</v>
      </c>
      <c r="AC94" s="233" t="s">
        <v>73</v>
      </c>
      <c r="AD94" s="377"/>
    </row>
    <row r="95" s="7" customFormat="1" ht="36" spans="1:30">
      <c r="A95" s="268" t="s">
        <v>58</v>
      </c>
      <c r="B95" s="269" t="s">
        <v>434</v>
      </c>
      <c r="C95" s="274" t="s">
        <v>422</v>
      </c>
      <c r="D95" s="273"/>
      <c r="E95" s="271">
        <v>41</v>
      </c>
      <c r="F95" s="233" t="s">
        <v>423</v>
      </c>
      <c r="G95" s="16" t="s">
        <v>435</v>
      </c>
      <c r="H95" s="233" t="s">
        <v>436</v>
      </c>
      <c r="I95" s="361" t="s">
        <v>437</v>
      </c>
      <c r="J95" s="361" t="s">
        <v>438</v>
      </c>
      <c r="K95" s="233" t="s">
        <v>439</v>
      </c>
      <c r="L95" s="16">
        <v>0.1</v>
      </c>
      <c r="M95" s="233" t="s">
        <v>361</v>
      </c>
      <c r="N95" s="233">
        <v>11.25</v>
      </c>
      <c r="O95" s="16" t="s">
        <v>67</v>
      </c>
      <c r="P95" s="233" t="s">
        <v>440</v>
      </c>
      <c r="Q95" s="319">
        <f>L95*135</f>
        <v>14</v>
      </c>
      <c r="R95" s="370">
        <f t="shared" si="26"/>
        <v>13</v>
      </c>
      <c r="S95" s="233" t="s">
        <v>9</v>
      </c>
      <c r="T95" s="233" t="s">
        <v>441</v>
      </c>
      <c r="U95" s="233" t="s">
        <v>428</v>
      </c>
      <c r="V95" s="233">
        <v>91</v>
      </c>
      <c r="W95" s="233">
        <v>92</v>
      </c>
      <c r="X95" s="233">
        <v>89.5</v>
      </c>
      <c r="Y95" s="233">
        <v>5328</v>
      </c>
      <c r="Z95" s="233">
        <v>1420</v>
      </c>
      <c r="AA95" s="233" t="s">
        <v>442</v>
      </c>
      <c r="AB95" s="233" t="s">
        <v>443</v>
      </c>
      <c r="AC95" s="233" t="s">
        <v>73</v>
      </c>
      <c r="AD95" s="330"/>
    </row>
    <row r="96" s="7" customFormat="1" ht="48" spans="1:30">
      <c r="A96" s="349" t="s">
        <v>444</v>
      </c>
      <c r="B96" s="275" t="s">
        <v>445</v>
      </c>
      <c r="C96" s="275" t="s">
        <v>60</v>
      </c>
      <c r="D96" s="276"/>
      <c r="E96" s="271">
        <v>42</v>
      </c>
      <c r="F96" s="16" t="s">
        <v>62</v>
      </c>
      <c r="G96" s="16" t="s">
        <v>446</v>
      </c>
      <c r="H96" s="16" t="s">
        <v>447</v>
      </c>
      <c r="I96" s="40">
        <v>31.5</v>
      </c>
      <c r="J96" s="40">
        <v>33.2</v>
      </c>
      <c r="K96" s="40" t="s">
        <v>448</v>
      </c>
      <c r="L96" s="16">
        <f>J96-I96</f>
        <v>1.7</v>
      </c>
      <c r="M96" s="40" t="s">
        <v>66</v>
      </c>
      <c r="N96" s="40">
        <v>7.5</v>
      </c>
      <c r="O96" s="40" t="s">
        <v>67</v>
      </c>
      <c r="P96" s="104" t="s">
        <v>449</v>
      </c>
      <c r="Q96" s="371">
        <f>L96*80</f>
        <v>136</v>
      </c>
      <c r="R96" s="370">
        <f t="shared" si="26"/>
        <v>122</v>
      </c>
      <c r="S96" s="96" t="s">
        <v>10</v>
      </c>
      <c r="T96" s="96" t="s">
        <v>450</v>
      </c>
      <c r="U96" s="16" t="s">
        <v>70</v>
      </c>
      <c r="V96" s="16">
        <v>82.77</v>
      </c>
      <c r="W96" s="16">
        <v>82.45</v>
      </c>
      <c r="X96" s="16">
        <v>83.26</v>
      </c>
      <c r="Y96" s="16">
        <v>2547</v>
      </c>
      <c r="Z96" s="16">
        <v>1486</v>
      </c>
      <c r="AA96" s="16" t="s">
        <v>451</v>
      </c>
      <c r="AB96" s="16" t="s">
        <v>452</v>
      </c>
      <c r="AC96" s="16" t="s">
        <v>73</v>
      </c>
      <c r="AD96" s="330"/>
    </row>
    <row r="97" s="7" customFormat="1" ht="36" spans="1:30">
      <c r="A97" s="349"/>
      <c r="B97" s="275"/>
      <c r="C97" s="274"/>
      <c r="D97" s="273"/>
      <c r="E97" s="271">
        <v>43</v>
      </c>
      <c r="F97" s="16" t="s">
        <v>62</v>
      </c>
      <c r="G97" s="16" t="s">
        <v>446</v>
      </c>
      <c r="H97" s="16" t="s">
        <v>453</v>
      </c>
      <c r="I97" s="40">
        <v>33.2</v>
      </c>
      <c r="J97" s="40">
        <v>35</v>
      </c>
      <c r="K97" s="40" t="s">
        <v>454</v>
      </c>
      <c r="L97" s="16">
        <f>J97-I97</f>
        <v>1.8</v>
      </c>
      <c r="M97" s="40" t="s">
        <v>66</v>
      </c>
      <c r="N97" s="40">
        <v>7.5</v>
      </c>
      <c r="O97" s="40" t="s">
        <v>67</v>
      </c>
      <c r="P97" s="321"/>
      <c r="Q97" s="371">
        <f>L97*350</f>
        <v>630</v>
      </c>
      <c r="R97" s="370">
        <f t="shared" si="26"/>
        <v>567</v>
      </c>
      <c r="S97" s="96" t="s">
        <v>8</v>
      </c>
      <c r="T97" s="96" t="s">
        <v>455</v>
      </c>
      <c r="U97" s="16" t="s">
        <v>70</v>
      </c>
      <c r="V97" s="16"/>
      <c r="W97" s="16"/>
      <c r="X97" s="16"/>
      <c r="Y97" s="16"/>
      <c r="Z97" s="16"/>
      <c r="AA97" s="16"/>
      <c r="AB97" s="16"/>
      <c r="AC97" s="16"/>
      <c r="AD97" s="330"/>
    </row>
    <row r="98" s="7" customFormat="1" ht="51" customHeight="1" spans="1:30">
      <c r="A98" s="268" t="s">
        <v>58</v>
      </c>
      <c r="B98" s="269" t="s">
        <v>456</v>
      </c>
      <c r="C98" s="274" t="s">
        <v>60</v>
      </c>
      <c r="D98" s="273"/>
      <c r="E98" s="350">
        <v>44</v>
      </c>
      <c r="F98" s="351" t="s">
        <v>194</v>
      </c>
      <c r="G98" s="351" t="s">
        <v>195</v>
      </c>
      <c r="H98" s="352" t="s">
        <v>457</v>
      </c>
      <c r="I98" s="354">
        <v>440.4</v>
      </c>
      <c r="J98" s="354">
        <v>442.8</v>
      </c>
      <c r="K98" s="363" t="s">
        <v>458</v>
      </c>
      <c r="L98" s="351">
        <f>J98-I98</f>
        <v>2.40000000000003</v>
      </c>
      <c r="M98" s="363" t="s">
        <v>66</v>
      </c>
      <c r="N98" s="363">
        <v>9</v>
      </c>
      <c r="O98" s="351" t="s">
        <v>67</v>
      </c>
      <c r="P98" s="363" t="s">
        <v>459</v>
      </c>
      <c r="Q98" s="372">
        <f>L98*85</f>
        <v>204</v>
      </c>
      <c r="R98" s="372">
        <f t="shared" si="26"/>
        <v>184</v>
      </c>
      <c r="S98" s="351" t="s">
        <v>10</v>
      </c>
      <c r="T98" s="351" t="s">
        <v>460</v>
      </c>
      <c r="U98" s="351" t="s">
        <v>200</v>
      </c>
      <c r="V98" s="351" t="s">
        <v>461</v>
      </c>
      <c r="W98" s="351" t="s">
        <v>462</v>
      </c>
      <c r="X98" s="351" t="s">
        <v>463</v>
      </c>
      <c r="Y98" s="351">
        <v>13872</v>
      </c>
      <c r="Z98" s="351">
        <v>1857</v>
      </c>
      <c r="AA98" s="351" t="s">
        <v>464</v>
      </c>
      <c r="AB98" s="351" t="s">
        <v>132</v>
      </c>
      <c r="AC98" s="351"/>
      <c r="AD98" s="378"/>
    </row>
  </sheetData>
  <autoFilter xmlns:etc="http://www.wps.cn/officeDocument/2017/etCustomData" ref="A3:AD98" etc:filterBottomFollowUsedRange="0">
    <extLst/>
  </autoFilter>
  <mergeCells count="181">
    <mergeCell ref="A1:D1"/>
    <mergeCell ref="E1:AD1"/>
    <mergeCell ref="I2:J2"/>
    <mergeCell ref="V2:X2"/>
    <mergeCell ref="I4:K4"/>
    <mergeCell ref="I5:K5"/>
    <mergeCell ref="I6:K6"/>
    <mergeCell ref="I7:K7"/>
    <mergeCell ref="I8:K8"/>
    <mergeCell ref="I9:K9"/>
    <mergeCell ref="I10:K10"/>
    <mergeCell ref="I11:K11"/>
    <mergeCell ref="I75:K75"/>
    <mergeCell ref="I76:K76"/>
    <mergeCell ref="I77:K77"/>
    <mergeCell ref="I78:K78"/>
    <mergeCell ref="A2:A3"/>
    <mergeCell ref="A56:A62"/>
    <mergeCell ref="B2:B3"/>
    <mergeCell ref="B19:B23"/>
    <mergeCell ref="B28:B31"/>
    <mergeCell ref="B32:B35"/>
    <mergeCell ref="B37:B43"/>
    <mergeCell ref="B56:B62"/>
    <mergeCell ref="B68:B69"/>
    <mergeCell ref="B79:B80"/>
    <mergeCell ref="B85:B86"/>
    <mergeCell ref="B93:B94"/>
    <mergeCell ref="C56:C62"/>
    <mergeCell ref="D56:D62"/>
    <mergeCell ref="E2:E3"/>
    <mergeCell ref="E13:E15"/>
    <mergeCell ref="E17:E18"/>
    <mergeCell ref="E19:E23"/>
    <mergeCell ref="E24:E26"/>
    <mergeCell ref="E29:E31"/>
    <mergeCell ref="E32:E35"/>
    <mergeCell ref="E37:E43"/>
    <mergeCell ref="E44:E46"/>
    <mergeCell ref="E47:E50"/>
    <mergeCell ref="E54:E55"/>
    <mergeCell ref="E56:E62"/>
    <mergeCell ref="E63:E67"/>
    <mergeCell ref="E68:E69"/>
    <mergeCell ref="E73:E74"/>
    <mergeCell ref="E79:E81"/>
    <mergeCell ref="E82:E83"/>
    <mergeCell ref="E85:E86"/>
    <mergeCell ref="E87:E89"/>
    <mergeCell ref="E93:E94"/>
    <mergeCell ref="F2:F3"/>
    <mergeCell ref="F13:F15"/>
    <mergeCell ref="F17:F18"/>
    <mergeCell ref="F19:F23"/>
    <mergeCell ref="F24:F26"/>
    <mergeCell ref="F29:F31"/>
    <mergeCell ref="F32:F35"/>
    <mergeCell ref="F37:F43"/>
    <mergeCell ref="F44:F46"/>
    <mergeCell ref="F47:F50"/>
    <mergeCell ref="F54:F55"/>
    <mergeCell ref="F56:F62"/>
    <mergeCell ref="F63:F67"/>
    <mergeCell ref="F68:F69"/>
    <mergeCell ref="F73:F74"/>
    <mergeCell ref="F79:F81"/>
    <mergeCell ref="F82:F83"/>
    <mergeCell ref="F85:F86"/>
    <mergeCell ref="F87:F89"/>
    <mergeCell ref="F93:F94"/>
    <mergeCell ref="G2:G3"/>
    <mergeCell ref="G13:G15"/>
    <mergeCell ref="G17:G18"/>
    <mergeCell ref="G19:G23"/>
    <mergeCell ref="G24:G26"/>
    <mergeCell ref="G29:G31"/>
    <mergeCell ref="G32:G35"/>
    <mergeCell ref="G37:G43"/>
    <mergeCell ref="G44:G46"/>
    <mergeCell ref="G47:G50"/>
    <mergeCell ref="G54:G55"/>
    <mergeCell ref="G56:G62"/>
    <mergeCell ref="G63:G67"/>
    <mergeCell ref="G68:G69"/>
    <mergeCell ref="G73:G74"/>
    <mergeCell ref="G79:G81"/>
    <mergeCell ref="G82:G83"/>
    <mergeCell ref="G85:G86"/>
    <mergeCell ref="G87:G89"/>
    <mergeCell ref="G93:G94"/>
    <mergeCell ref="H2:H3"/>
    <mergeCell ref="H13:H15"/>
    <mergeCell ref="H17:H18"/>
    <mergeCell ref="H19:H23"/>
    <mergeCell ref="H24:H26"/>
    <mergeCell ref="H29:H31"/>
    <mergeCell ref="H32:H35"/>
    <mergeCell ref="H37:H43"/>
    <mergeCell ref="H44:H46"/>
    <mergeCell ref="H47:H50"/>
    <mergeCell ref="H54:H55"/>
    <mergeCell ref="H56:H62"/>
    <mergeCell ref="H63:H67"/>
    <mergeCell ref="H68:H69"/>
    <mergeCell ref="H73:H74"/>
    <mergeCell ref="H79:H81"/>
    <mergeCell ref="H82:H83"/>
    <mergeCell ref="H85:H86"/>
    <mergeCell ref="H87:H89"/>
    <mergeCell ref="H93:H94"/>
    <mergeCell ref="K2:K3"/>
    <mergeCell ref="L2:L3"/>
    <mergeCell ref="M2:M3"/>
    <mergeCell ref="M73:M74"/>
    <mergeCell ref="N2:N3"/>
    <mergeCell ref="O2:O3"/>
    <mergeCell ref="P2:P3"/>
    <mergeCell ref="P17:P18"/>
    <mergeCell ref="P19:P22"/>
    <mergeCell ref="P24:P26"/>
    <mergeCell ref="P29:P31"/>
    <mergeCell ref="P32:P35"/>
    <mergeCell ref="P57:P62"/>
    <mergeCell ref="P73:P74"/>
    <mergeCell ref="P93:P94"/>
    <mergeCell ref="P96:P97"/>
    <mergeCell ref="Q2:Q3"/>
    <mergeCell ref="R2:R3"/>
    <mergeCell ref="S2:S3"/>
    <mergeCell ref="T2:T3"/>
    <mergeCell ref="T17:T18"/>
    <mergeCell ref="T19:T22"/>
    <mergeCell ref="T24:T26"/>
    <mergeCell ref="T29:T31"/>
    <mergeCell ref="T32:T35"/>
    <mergeCell ref="T44:T46"/>
    <mergeCell ref="T47:T50"/>
    <mergeCell ref="T63:T67"/>
    <mergeCell ref="T73:T74"/>
    <mergeCell ref="T87:T89"/>
    <mergeCell ref="U2:U3"/>
    <mergeCell ref="U17:U18"/>
    <mergeCell ref="U19:U22"/>
    <mergeCell ref="U24:U26"/>
    <mergeCell ref="U29:U31"/>
    <mergeCell ref="U32:U35"/>
    <mergeCell ref="U37:U43"/>
    <mergeCell ref="U44:U46"/>
    <mergeCell ref="U47:U50"/>
    <mergeCell ref="U54:U55"/>
    <mergeCell ref="U68:U69"/>
    <mergeCell ref="U73:U74"/>
    <mergeCell ref="U79:U81"/>
    <mergeCell ref="U82:U83"/>
    <mergeCell ref="U87:U89"/>
    <mergeCell ref="Y2:Y3"/>
    <mergeCell ref="Y37:Y43"/>
    <mergeCell ref="Z2:Z3"/>
    <mergeCell ref="Z37:Z43"/>
    <mergeCell ref="AA2:AA3"/>
    <mergeCell ref="AA57:AA62"/>
    <mergeCell ref="AB2:AB3"/>
    <mergeCell ref="AB17:AB18"/>
    <mergeCell ref="AB19:AB22"/>
    <mergeCell ref="AB24:AB26"/>
    <mergeCell ref="AC2:AC3"/>
    <mergeCell ref="AD2:AD3"/>
    <mergeCell ref="AD17:AD18"/>
    <mergeCell ref="AD19:AD22"/>
    <mergeCell ref="AD24:AD26"/>
    <mergeCell ref="AD28:AD31"/>
    <mergeCell ref="AD57:AD62"/>
    <mergeCell ref="AD63:AD67"/>
    <mergeCell ref="AD68:AD69"/>
    <mergeCell ref="AD73:AD74"/>
    <mergeCell ref="AD82:AD83"/>
    <mergeCell ref="AD87:AD89"/>
    <mergeCell ref="C2:D3"/>
    <mergeCell ref="E8:H11"/>
    <mergeCell ref="E4:H7"/>
    <mergeCell ref="E75:H78"/>
  </mergeCells>
  <pageMargins left="0.236111111111111" right="0.236111111111111" top="0.354166666666667" bottom="0.354166666666667" header="0.118055555555556" footer="0.118055555555556"/>
  <pageSetup paperSize="9" scale="49" fitToHeight="0" orientation="landscape" horizontalDpi="600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9"/>
  <sheetViews>
    <sheetView topLeftCell="G1" workbookViewId="0">
      <pane ySplit="3" topLeftCell="A27" activePane="bottomLeft" state="frozen"/>
      <selection/>
      <selection pane="bottomLeft" activeCell="U8" sqref="U8"/>
    </sheetView>
  </sheetViews>
  <sheetFormatPr defaultColWidth="9" defaultRowHeight="12"/>
  <cols>
    <col min="1" max="1" width="3" style="229" customWidth="1"/>
    <col min="2" max="3" width="5" style="229" customWidth="1"/>
    <col min="4" max="4" width="6.25" style="229" customWidth="1"/>
    <col min="5" max="5" width="7.38333333333333" style="229" customWidth="1"/>
    <col min="6" max="7" width="9" style="229" customWidth="1"/>
    <col min="8" max="8" width="11.1416666666667" style="229" customWidth="1"/>
    <col min="9" max="9" width="8.00833333333333" style="230" customWidth="1"/>
    <col min="10" max="10" width="7.85" style="231" customWidth="1"/>
    <col min="11" max="11" width="9" style="229" customWidth="1"/>
    <col min="12" max="12" width="7.5" style="229" customWidth="1"/>
    <col min="13" max="13" width="9.14166666666667" style="229" customWidth="1"/>
    <col min="14" max="14" width="5" style="229" customWidth="1"/>
    <col min="15" max="15" width="6.55833333333333" style="229" customWidth="1"/>
    <col min="16" max="16" width="10.7" style="229" customWidth="1"/>
    <col min="17" max="17" width="5" style="229" customWidth="1"/>
    <col min="18" max="18" width="10" style="229" customWidth="1"/>
    <col min="19" max="19" width="41.525" style="229" customWidth="1"/>
    <col min="20" max="20" width="7.5" style="230" customWidth="1"/>
    <col min="21" max="21" width="11.25" style="230" customWidth="1"/>
    <col min="22" max="22" width="9.475" style="230" customWidth="1"/>
    <col min="23" max="23" width="9.475" style="230" hidden="1" customWidth="1"/>
    <col min="24" max="24" width="7.80833333333333" style="229" customWidth="1"/>
    <col min="25" max="25" width="8.13333333333333" style="229" customWidth="1"/>
    <col min="26" max="26" width="14.7" style="229" customWidth="1"/>
    <col min="27" max="27" width="9.30833333333333" style="229" customWidth="1"/>
    <col min="28" max="28" width="12.75" style="229" customWidth="1"/>
    <col min="29" max="16384" width="9" style="229"/>
  </cols>
  <sheetData>
    <row r="1" s="212" customFormat="1" ht="41" customHeight="1" spans="1:28">
      <c r="A1" s="217" t="s">
        <v>465</v>
      </c>
      <c r="B1" s="217"/>
      <c r="C1" s="217"/>
      <c r="D1" s="217"/>
      <c r="E1" s="217"/>
      <c r="F1" s="217"/>
      <c r="G1" s="217"/>
      <c r="H1" s="217"/>
      <c r="I1" s="224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24"/>
      <c r="U1" s="224"/>
      <c r="V1" s="224"/>
      <c r="W1" s="224"/>
      <c r="X1" s="217"/>
      <c r="Y1" s="217"/>
      <c r="Z1" s="217"/>
      <c r="AA1" s="217"/>
      <c r="AB1" s="217"/>
    </row>
    <row r="2" s="213" customFormat="1" ht="29" customHeight="1" spans="1:28">
      <c r="A2" s="218" t="s">
        <v>1</v>
      </c>
      <c r="B2" s="218" t="s">
        <v>466</v>
      </c>
      <c r="C2" s="218"/>
      <c r="D2" s="218"/>
      <c r="E2" s="218"/>
      <c r="F2" s="218"/>
      <c r="G2" s="218"/>
      <c r="H2" s="218"/>
      <c r="I2" s="160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160" t="s">
        <v>5</v>
      </c>
      <c r="U2" s="160" t="s">
        <v>467</v>
      </c>
      <c r="V2" s="160" t="s">
        <v>468</v>
      </c>
      <c r="W2" s="160"/>
      <c r="X2" s="218" t="s">
        <v>469</v>
      </c>
      <c r="Y2" s="218" t="s">
        <v>470</v>
      </c>
      <c r="Z2" s="218" t="s">
        <v>471</v>
      </c>
      <c r="AA2" s="218" t="s">
        <v>41</v>
      </c>
      <c r="AB2" s="218" t="s">
        <v>48</v>
      </c>
    </row>
    <row r="3" s="214" customFormat="1" ht="60" customHeight="1" spans="1:28">
      <c r="A3" s="218"/>
      <c r="B3" s="218" t="s">
        <v>472</v>
      </c>
      <c r="C3" s="218" t="s">
        <v>473</v>
      </c>
      <c r="D3" s="218" t="s">
        <v>474</v>
      </c>
      <c r="E3" s="218" t="s">
        <v>475</v>
      </c>
      <c r="F3" s="218" t="s">
        <v>476</v>
      </c>
      <c r="G3" s="218" t="s">
        <v>477</v>
      </c>
      <c r="H3" s="219" t="s">
        <v>478</v>
      </c>
      <c r="I3" s="160" t="s">
        <v>479</v>
      </c>
      <c r="J3" s="235" t="s">
        <v>480</v>
      </c>
      <c r="K3" s="218" t="s">
        <v>481</v>
      </c>
      <c r="L3" s="218" t="s">
        <v>482</v>
      </c>
      <c r="M3" s="218" t="s">
        <v>483</v>
      </c>
      <c r="N3" s="218" t="s">
        <v>484</v>
      </c>
      <c r="O3" s="218" t="s">
        <v>485</v>
      </c>
      <c r="P3" s="218" t="s">
        <v>486</v>
      </c>
      <c r="Q3" s="218" t="s">
        <v>487</v>
      </c>
      <c r="R3" s="218" t="s">
        <v>488</v>
      </c>
      <c r="S3" s="218" t="s">
        <v>489</v>
      </c>
      <c r="T3" s="160"/>
      <c r="U3" s="160"/>
      <c r="V3" s="160"/>
      <c r="W3" s="160"/>
      <c r="X3" s="218"/>
      <c r="Y3" s="218"/>
      <c r="Z3" s="218"/>
      <c r="AA3" s="218"/>
      <c r="AB3" s="218"/>
    </row>
    <row r="4" s="215" customFormat="1" ht="42" customHeight="1" spans="1:28">
      <c r="A4" s="15" t="s">
        <v>55</v>
      </c>
      <c r="B4" s="15"/>
      <c r="C4" s="15"/>
      <c r="D4" s="15"/>
      <c r="E4" s="15"/>
      <c r="F4" s="15"/>
      <c r="G4" s="15"/>
      <c r="H4" s="77"/>
      <c r="I4" s="145"/>
      <c r="J4" s="194"/>
      <c r="K4" s="125"/>
      <c r="L4" s="125"/>
      <c r="M4" s="125"/>
      <c r="N4" s="125"/>
      <c r="O4" s="125"/>
      <c r="P4" s="125"/>
      <c r="Q4" s="125"/>
      <c r="R4" s="125"/>
      <c r="S4" s="125"/>
      <c r="T4" s="145">
        <f t="shared" ref="T4:V4" si="0">T5+T10+T14</f>
        <v>2147</v>
      </c>
      <c r="U4" s="145">
        <f t="shared" si="0"/>
        <v>1782</v>
      </c>
      <c r="V4" s="145">
        <f t="shared" si="0"/>
        <v>1234</v>
      </c>
      <c r="W4" s="145"/>
      <c r="X4" s="125"/>
      <c r="Y4" s="125"/>
      <c r="Z4" s="125"/>
      <c r="AA4" s="125"/>
      <c r="AB4" s="125"/>
    </row>
    <row r="5" s="226" customFormat="1" ht="38" customHeight="1" spans="1:28">
      <c r="A5" s="232" t="s">
        <v>490</v>
      </c>
      <c r="B5" s="232"/>
      <c r="C5" s="232"/>
      <c r="D5" s="232"/>
      <c r="E5" s="232"/>
      <c r="F5" s="232"/>
      <c r="G5" s="232"/>
      <c r="H5" s="232"/>
      <c r="I5" s="236"/>
      <c r="J5" s="237"/>
      <c r="K5" s="232"/>
      <c r="L5" s="232"/>
      <c r="M5" s="232"/>
      <c r="N5" s="232"/>
      <c r="O5" s="232"/>
      <c r="P5" s="232"/>
      <c r="Q5" s="232"/>
      <c r="R5" s="232"/>
      <c r="S5" s="15"/>
      <c r="T5" s="145">
        <f t="shared" ref="T5:V5" si="1">SUM(T6:T9)</f>
        <v>1204</v>
      </c>
      <c r="U5" s="145">
        <f t="shared" si="1"/>
        <v>986</v>
      </c>
      <c r="V5" s="145">
        <f t="shared" si="1"/>
        <v>568</v>
      </c>
      <c r="W5" s="236"/>
      <c r="X5" s="232"/>
      <c r="Y5" s="232"/>
      <c r="Z5" s="232"/>
      <c r="AA5" s="232"/>
      <c r="AB5" s="232"/>
    </row>
    <row r="6" s="227" customFormat="1" ht="77" customHeight="1" spans="1:28">
      <c r="A6" s="223">
        <v>1</v>
      </c>
      <c r="B6" s="223" t="s">
        <v>63</v>
      </c>
      <c r="C6" s="223" t="s">
        <v>66</v>
      </c>
      <c r="D6" s="16" t="s">
        <v>491</v>
      </c>
      <c r="E6" s="223">
        <v>360731</v>
      </c>
      <c r="F6" s="223" t="s">
        <v>492</v>
      </c>
      <c r="G6" s="223" t="s">
        <v>493</v>
      </c>
      <c r="H6" s="19">
        <v>401.09</v>
      </c>
      <c r="I6" s="146">
        <v>44</v>
      </c>
      <c r="J6" s="195">
        <v>12</v>
      </c>
      <c r="K6" s="16" t="s">
        <v>494</v>
      </c>
      <c r="L6" s="223" t="s">
        <v>495</v>
      </c>
      <c r="M6" s="223">
        <v>1999</v>
      </c>
      <c r="N6" s="223">
        <v>2021</v>
      </c>
      <c r="O6" s="16" t="s">
        <v>496</v>
      </c>
      <c r="P6" s="161" t="s">
        <v>497</v>
      </c>
      <c r="Q6" s="223">
        <v>4</v>
      </c>
      <c r="R6" s="223" t="s">
        <v>498</v>
      </c>
      <c r="S6" s="223" t="s">
        <v>499</v>
      </c>
      <c r="T6" s="146">
        <v>366</v>
      </c>
      <c r="U6" s="146">
        <v>236</v>
      </c>
      <c r="V6" s="146">
        <f>U6*0.85</f>
        <v>201</v>
      </c>
      <c r="W6" s="192">
        <f>U6*0.85</f>
        <v>201</v>
      </c>
      <c r="X6" s="16" t="s">
        <v>500</v>
      </c>
      <c r="Y6" s="16" t="s">
        <v>501</v>
      </c>
      <c r="Z6" s="16" t="s">
        <v>502</v>
      </c>
      <c r="AA6" s="16" t="s">
        <v>200</v>
      </c>
      <c r="AB6" s="16"/>
    </row>
    <row r="7" s="228" customFormat="1" ht="77" customHeight="1" spans="1:29">
      <c r="A7" s="223">
        <v>2</v>
      </c>
      <c r="B7" s="223" t="s">
        <v>396</v>
      </c>
      <c r="C7" s="223" t="s">
        <v>66</v>
      </c>
      <c r="D7" s="16" t="s">
        <v>330</v>
      </c>
      <c r="E7" s="223">
        <v>360734</v>
      </c>
      <c r="F7" s="223" t="s">
        <v>503</v>
      </c>
      <c r="G7" s="223" t="s">
        <v>504</v>
      </c>
      <c r="H7" s="19">
        <v>2111.27</v>
      </c>
      <c r="I7" s="195">
        <v>21.6</v>
      </c>
      <c r="J7" s="195">
        <v>12</v>
      </c>
      <c r="K7" s="16" t="s">
        <v>505</v>
      </c>
      <c r="L7" s="223" t="s">
        <v>506</v>
      </c>
      <c r="M7" s="223">
        <v>1999</v>
      </c>
      <c r="N7" s="223">
        <v>2015</v>
      </c>
      <c r="O7" s="16" t="s">
        <v>507</v>
      </c>
      <c r="P7" s="161" t="s">
        <v>508</v>
      </c>
      <c r="Q7" s="223">
        <v>3</v>
      </c>
      <c r="R7" s="223" t="s">
        <v>509</v>
      </c>
      <c r="S7" s="223" t="s">
        <v>510</v>
      </c>
      <c r="T7" s="146">
        <f>U7*1.13</f>
        <v>339</v>
      </c>
      <c r="U7" s="146">
        <v>300</v>
      </c>
      <c r="V7" s="146">
        <f>I7*J7*0.45</f>
        <v>117</v>
      </c>
      <c r="W7" s="192">
        <f>U7*0.85</f>
        <v>255</v>
      </c>
      <c r="X7" s="16" t="s">
        <v>511</v>
      </c>
      <c r="Y7" s="16" t="s">
        <v>501</v>
      </c>
      <c r="Z7" s="16" t="s">
        <v>502</v>
      </c>
      <c r="AA7" s="16" t="s">
        <v>336</v>
      </c>
      <c r="AB7" s="223"/>
      <c r="AC7" s="227"/>
    </row>
    <row r="8" s="227" customFormat="1" ht="77" customHeight="1" spans="1:28">
      <c r="A8" s="223">
        <v>3</v>
      </c>
      <c r="B8" s="40" t="s">
        <v>512</v>
      </c>
      <c r="C8" s="40" t="s">
        <v>66</v>
      </c>
      <c r="D8" s="40" t="s">
        <v>338</v>
      </c>
      <c r="E8" s="40">
        <v>360730</v>
      </c>
      <c r="F8" s="16" t="s">
        <v>513</v>
      </c>
      <c r="G8" s="40" t="s">
        <v>514</v>
      </c>
      <c r="H8" s="40" t="s">
        <v>515</v>
      </c>
      <c r="I8" s="40" t="s">
        <v>516</v>
      </c>
      <c r="J8" s="99">
        <v>12</v>
      </c>
      <c r="K8" s="16" t="s">
        <v>517</v>
      </c>
      <c r="L8" s="16" t="s">
        <v>518</v>
      </c>
      <c r="M8" s="40">
        <v>1999</v>
      </c>
      <c r="N8" s="40">
        <v>2015</v>
      </c>
      <c r="O8" s="16" t="s">
        <v>507</v>
      </c>
      <c r="P8" s="161" t="s">
        <v>497</v>
      </c>
      <c r="Q8" s="40">
        <v>2</v>
      </c>
      <c r="R8" s="223" t="s">
        <v>519</v>
      </c>
      <c r="S8" s="16" t="s">
        <v>520</v>
      </c>
      <c r="T8" s="40">
        <v>420</v>
      </c>
      <c r="U8" s="40">
        <v>380</v>
      </c>
      <c r="V8" s="192">
        <f>I8*J8*0.3</f>
        <v>194</v>
      </c>
      <c r="W8" s="192">
        <f t="shared" ref="W8:W13" si="2">U8*0.8</f>
        <v>304</v>
      </c>
      <c r="X8" s="16" t="s">
        <v>511</v>
      </c>
      <c r="Y8" s="16" t="s">
        <v>501</v>
      </c>
      <c r="Z8" s="16" t="s">
        <v>502</v>
      </c>
      <c r="AA8" s="223" t="s">
        <v>343</v>
      </c>
      <c r="AB8" s="223"/>
    </row>
    <row r="9" s="227" customFormat="1" ht="77" customHeight="1" spans="1:28">
      <c r="A9" s="223">
        <v>4</v>
      </c>
      <c r="B9" s="40" t="s">
        <v>521</v>
      </c>
      <c r="C9" s="40" t="s">
        <v>210</v>
      </c>
      <c r="D9" s="40" t="s">
        <v>97</v>
      </c>
      <c r="E9" s="40">
        <v>360732</v>
      </c>
      <c r="F9" s="16" t="s">
        <v>522</v>
      </c>
      <c r="G9" s="40" t="s">
        <v>523</v>
      </c>
      <c r="H9" s="40">
        <v>20.099</v>
      </c>
      <c r="I9" s="40">
        <v>21.6</v>
      </c>
      <c r="J9" s="99">
        <v>10</v>
      </c>
      <c r="K9" s="16" t="s">
        <v>505</v>
      </c>
      <c r="L9" s="16" t="s">
        <v>524</v>
      </c>
      <c r="M9" s="40">
        <v>1976</v>
      </c>
      <c r="N9" s="40">
        <v>2020</v>
      </c>
      <c r="O9" s="16" t="s">
        <v>496</v>
      </c>
      <c r="P9" s="161">
        <v>2024.6</v>
      </c>
      <c r="Q9" s="40">
        <v>3</v>
      </c>
      <c r="R9" s="223" t="s">
        <v>525</v>
      </c>
      <c r="S9" s="16" t="s">
        <v>526</v>
      </c>
      <c r="T9" s="40">
        <f>ROUND(U9*1.13,0)</f>
        <v>79</v>
      </c>
      <c r="U9" s="40">
        <v>70</v>
      </c>
      <c r="V9" s="192">
        <f t="shared" ref="V9:V13" si="3">U9*0.8</f>
        <v>56</v>
      </c>
      <c r="W9" s="192">
        <f t="shared" si="2"/>
        <v>56</v>
      </c>
      <c r="X9" s="16" t="s">
        <v>511</v>
      </c>
      <c r="Y9" s="16" t="s">
        <v>501</v>
      </c>
      <c r="Z9" s="16" t="s">
        <v>502</v>
      </c>
      <c r="AA9" s="223" t="s">
        <v>103</v>
      </c>
      <c r="AB9" s="223"/>
    </row>
    <row r="10" s="226" customFormat="1" ht="38" customHeight="1" spans="1:29">
      <c r="A10" s="232" t="s">
        <v>527</v>
      </c>
      <c r="B10" s="232"/>
      <c r="C10" s="232"/>
      <c r="D10" s="232"/>
      <c r="E10" s="232"/>
      <c r="F10" s="232"/>
      <c r="G10" s="232"/>
      <c r="H10" s="232"/>
      <c r="I10" s="236"/>
      <c r="J10" s="237"/>
      <c r="K10" s="232"/>
      <c r="L10" s="232"/>
      <c r="M10" s="232"/>
      <c r="N10" s="232"/>
      <c r="O10" s="232"/>
      <c r="P10" s="232"/>
      <c r="Q10" s="232"/>
      <c r="R10" s="232"/>
      <c r="S10" s="15"/>
      <c r="T10" s="145">
        <f t="shared" ref="T10:V10" si="4">SUM(T11:T13)</f>
        <v>90</v>
      </c>
      <c r="U10" s="145">
        <f t="shared" si="4"/>
        <v>81</v>
      </c>
      <c r="V10" s="145">
        <f t="shared" si="4"/>
        <v>64</v>
      </c>
      <c r="W10" s="236"/>
      <c r="X10" s="232"/>
      <c r="Y10" s="232"/>
      <c r="Z10" s="232"/>
      <c r="AA10" s="232"/>
      <c r="AB10" s="232"/>
      <c r="AC10" s="228"/>
    </row>
    <row r="11" s="228" customFormat="1" ht="160" customHeight="1" spans="1:28">
      <c r="A11" s="223">
        <v>1</v>
      </c>
      <c r="B11" s="223" t="s">
        <v>512</v>
      </c>
      <c r="C11" s="223" t="s">
        <v>66</v>
      </c>
      <c r="D11" s="16" t="s">
        <v>97</v>
      </c>
      <c r="E11" s="223">
        <v>360732</v>
      </c>
      <c r="F11" s="233" t="s">
        <v>528</v>
      </c>
      <c r="G11" s="223" t="s">
        <v>529</v>
      </c>
      <c r="H11" s="223">
        <v>4.928</v>
      </c>
      <c r="I11" s="146">
        <v>19</v>
      </c>
      <c r="J11" s="195">
        <v>10</v>
      </c>
      <c r="K11" s="223" t="s">
        <v>505</v>
      </c>
      <c r="L11" s="223" t="s">
        <v>530</v>
      </c>
      <c r="M11" s="223">
        <v>1997</v>
      </c>
      <c r="N11" s="223"/>
      <c r="O11" s="223"/>
      <c r="P11" s="223">
        <v>2022.12</v>
      </c>
      <c r="Q11" s="223">
        <v>3</v>
      </c>
      <c r="R11" s="223" t="s">
        <v>531</v>
      </c>
      <c r="S11" s="223" t="s">
        <v>532</v>
      </c>
      <c r="T11" s="146">
        <v>40</v>
      </c>
      <c r="U11" s="146">
        <v>35</v>
      </c>
      <c r="V11" s="146">
        <f t="shared" si="3"/>
        <v>28</v>
      </c>
      <c r="W11" s="223" t="s">
        <v>511</v>
      </c>
      <c r="X11" s="16" t="s">
        <v>511</v>
      </c>
      <c r="Y11" s="16" t="s">
        <v>507</v>
      </c>
      <c r="Z11" s="16" t="s">
        <v>507</v>
      </c>
      <c r="AA11" s="223" t="s">
        <v>103</v>
      </c>
      <c r="AB11" s="150"/>
    </row>
    <row r="12" s="227" customFormat="1" ht="77" customHeight="1" spans="1:29">
      <c r="A12" s="223">
        <v>2</v>
      </c>
      <c r="B12" s="40" t="s">
        <v>533</v>
      </c>
      <c r="C12" s="40" t="s">
        <v>210</v>
      </c>
      <c r="D12" s="40" t="s">
        <v>349</v>
      </c>
      <c r="E12" s="40">
        <v>360724</v>
      </c>
      <c r="F12" s="16" t="s">
        <v>534</v>
      </c>
      <c r="G12" s="40" t="s">
        <v>535</v>
      </c>
      <c r="H12" s="40">
        <v>72.42</v>
      </c>
      <c r="I12" s="40">
        <v>20.8</v>
      </c>
      <c r="J12" s="99">
        <v>8.5</v>
      </c>
      <c r="K12" s="16" t="s">
        <v>536</v>
      </c>
      <c r="L12" s="16" t="s">
        <v>537</v>
      </c>
      <c r="M12" s="40">
        <v>1993</v>
      </c>
      <c r="N12" s="40"/>
      <c r="O12" s="16"/>
      <c r="P12" s="223">
        <v>2023.11</v>
      </c>
      <c r="Q12" s="40">
        <v>3</v>
      </c>
      <c r="R12" s="223" t="s">
        <v>538</v>
      </c>
      <c r="S12" s="16" t="s">
        <v>539</v>
      </c>
      <c r="T12" s="40">
        <v>19.5</v>
      </c>
      <c r="U12" s="40">
        <v>17.7</v>
      </c>
      <c r="V12" s="192">
        <f t="shared" si="3"/>
        <v>14</v>
      </c>
      <c r="W12" s="192">
        <f t="shared" si="2"/>
        <v>14</v>
      </c>
      <c r="X12" s="16" t="s">
        <v>511</v>
      </c>
      <c r="Y12" s="16" t="s">
        <v>540</v>
      </c>
      <c r="Z12" s="16" t="s">
        <v>507</v>
      </c>
      <c r="AA12" s="223" t="s">
        <v>355</v>
      </c>
      <c r="AB12" s="150"/>
      <c r="AC12" s="228"/>
    </row>
    <row r="13" s="227" customFormat="1" ht="77" customHeight="1" spans="1:29">
      <c r="A13" s="223">
        <v>3</v>
      </c>
      <c r="B13" s="40" t="s">
        <v>533</v>
      </c>
      <c r="C13" s="40" t="s">
        <v>210</v>
      </c>
      <c r="D13" s="40" t="s">
        <v>349</v>
      </c>
      <c r="E13" s="40">
        <v>360724</v>
      </c>
      <c r="F13" s="16" t="s">
        <v>541</v>
      </c>
      <c r="G13" s="40" t="s">
        <v>542</v>
      </c>
      <c r="H13" s="40">
        <v>73.55</v>
      </c>
      <c r="I13" s="40">
        <v>33</v>
      </c>
      <c r="J13" s="99">
        <v>8.5</v>
      </c>
      <c r="K13" s="16" t="s">
        <v>536</v>
      </c>
      <c r="L13" s="16" t="s">
        <v>537</v>
      </c>
      <c r="M13" s="40">
        <v>2002</v>
      </c>
      <c r="N13" s="40"/>
      <c r="O13" s="16"/>
      <c r="P13" s="223">
        <v>2021.11</v>
      </c>
      <c r="Q13" s="40">
        <v>3</v>
      </c>
      <c r="R13" s="223" t="s">
        <v>538</v>
      </c>
      <c r="S13" s="16" t="s">
        <v>543</v>
      </c>
      <c r="T13" s="40">
        <v>30.8</v>
      </c>
      <c r="U13" s="40">
        <v>28</v>
      </c>
      <c r="V13" s="192">
        <f t="shared" si="3"/>
        <v>22</v>
      </c>
      <c r="W13" s="192">
        <f t="shared" si="2"/>
        <v>22</v>
      </c>
      <c r="X13" s="16" t="s">
        <v>511</v>
      </c>
      <c r="Y13" s="16" t="s">
        <v>540</v>
      </c>
      <c r="Z13" s="16" t="s">
        <v>507</v>
      </c>
      <c r="AA13" s="223" t="s">
        <v>355</v>
      </c>
      <c r="AB13" s="150"/>
      <c r="AC13" s="228"/>
    </row>
    <row r="14" s="226" customFormat="1" ht="38" customHeight="1" spans="1:29">
      <c r="A14" s="232" t="s">
        <v>544</v>
      </c>
      <c r="B14" s="232"/>
      <c r="C14" s="232"/>
      <c r="D14" s="232"/>
      <c r="E14" s="232"/>
      <c r="F14" s="232"/>
      <c r="G14" s="232"/>
      <c r="H14" s="232"/>
      <c r="I14" s="236"/>
      <c r="J14" s="237"/>
      <c r="K14" s="232"/>
      <c r="L14" s="232"/>
      <c r="M14" s="232"/>
      <c r="N14" s="232"/>
      <c r="O14" s="232"/>
      <c r="P14" s="232"/>
      <c r="Q14" s="232"/>
      <c r="R14" s="232"/>
      <c r="S14" s="15"/>
      <c r="T14" s="145">
        <f t="shared" ref="T14:V14" si="5">SUM(T15:T30)</f>
        <v>853</v>
      </c>
      <c r="U14" s="145">
        <f t="shared" si="5"/>
        <v>715</v>
      </c>
      <c r="V14" s="145">
        <f t="shared" si="5"/>
        <v>602</v>
      </c>
      <c r="W14" s="236"/>
      <c r="X14" s="232"/>
      <c r="Y14" s="232"/>
      <c r="Z14" s="232"/>
      <c r="AA14" s="232"/>
      <c r="AB14" s="232"/>
      <c r="AC14" s="228"/>
    </row>
    <row r="15" s="227" customFormat="1" ht="77" customHeight="1" spans="1:29">
      <c r="A15" s="223">
        <v>1</v>
      </c>
      <c r="B15" s="40" t="s">
        <v>207</v>
      </c>
      <c r="C15" s="40" t="s">
        <v>210</v>
      </c>
      <c r="D15" s="40" t="s">
        <v>491</v>
      </c>
      <c r="E15" s="40">
        <v>360731</v>
      </c>
      <c r="F15" s="16" t="s">
        <v>545</v>
      </c>
      <c r="G15" s="40" t="s">
        <v>546</v>
      </c>
      <c r="H15" s="40">
        <v>1.765</v>
      </c>
      <c r="I15" s="40">
        <v>51</v>
      </c>
      <c r="J15" s="99">
        <v>9</v>
      </c>
      <c r="K15" s="16" t="s">
        <v>547</v>
      </c>
      <c r="L15" s="16" t="s">
        <v>548</v>
      </c>
      <c r="M15" s="40">
        <v>2014</v>
      </c>
      <c r="N15" s="40">
        <v>2020</v>
      </c>
      <c r="O15" s="16" t="s">
        <v>496</v>
      </c>
      <c r="P15" s="161" t="s">
        <v>497</v>
      </c>
      <c r="Q15" s="40">
        <v>2</v>
      </c>
      <c r="R15" s="223" t="s">
        <v>549</v>
      </c>
      <c r="S15" s="16" t="s">
        <v>550</v>
      </c>
      <c r="T15" s="40">
        <v>39</v>
      </c>
      <c r="U15" s="40">
        <v>29</v>
      </c>
      <c r="V15" s="192">
        <f t="shared" ref="V15:V21" si="6">U15*0.8</f>
        <v>23</v>
      </c>
      <c r="W15" s="192">
        <f t="shared" ref="W15:W21" si="7">U15*0.8</f>
        <v>23</v>
      </c>
      <c r="X15" s="16" t="s">
        <v>511</v>
      </c>
      <c r="Y15" s="16" t="s">
        <v>551</v>
      </c>
      <c r="Z15" s="16" t="s">
        <v>552</v>
      </c>
      <c r="AA15" s="223" t="s">
        <v>200</v>
      </c>
      <c r="AB15" s="150"/>
      <c r="AC15" s="228"/>
    </row>
    <row r="16" s="227" customFormat="1" ht="77" customHeight="1" spans="1:29">
      <c r="A16" s="223">
        <v>2</v>
      </c>
      <c r="B16" s="40" t="s">
        <v>396</v>
      </c>
      <c r="C16" s="40" t="s">
        <v>66</v>
      </c>
      <c r="D16" s="40" t="s">
        <v>553</v>
      </c>
      <c r="E16" s="40">
        <v>360733</v>
      </c>
      <c r="F16" s="16" t="s">
        <v>554</v>
      </c>
      <c r="G16" s="40" t="s">
        <v>555</v>
      </c>
      <c r="H16" s="40">
        <v>2060.955</v>
      </c>
      <c r="I16" s="40">
        <v>101.44</v>
      </c>
      <c r="J16" s="99">
        <v>12</v>
      </c>
      <c r="K16" s="16" t="s">
        <v>505</v>
      </c>
      <c r="L16" s="16" t="s">
        <v>556</v>
      </c>
      <c r="M16" s="40">
        <v>2002</v>
      </c>
      <c r="N16" s="40">
        <v>2020</v>
      </c>
      <c r="O16" s="16" t="s">
        <v>496</v>
      </c>
      <c r="P16" s="161" t="s">
        <v>557</v>
      </c>
      <c r="Q16" s="40">
        <v>2</v>
      </c>
      <c r="R16" s="223" t="s">
        <v>558</v>
      </c>
      <c r="S16" s="16" t="s">
        <v>559</v>
      </c>
      <c r="T16" s="40">
        <v>63</v>
      </c>
      <c r="U16" s="40">
        <v>55</v>
      </c>
      <c r="V16" s="192">
        <f t="shared" ref="V16:V18" si="8">U16*0.85</f>
        <v>47</v>
      </c>
      <c r="W16" s="192">
        <f t="shared" ref="W16:W18" si="9">U16*0.85</f>
        <v>47</v>
      </c>
      <c r="X16" s="16" t="s">
        <v>511</v>
      </c>
      <c r="Y16" s="16" t="s">
        <v>551</v>
      </c>
      <c r="Z16" s="16" t="s">
        <v>552</v>
      </c>
      <c r="AA16" s="223" t="s">
        <v>318</v>
      </c>
      <c r="AB16" s="16"/>
      <c r="AC16" s="228"/>
    </row>
    <row r="17" s="227" customFormat="1" ht="77" customHeight="1" spans="1:29">
      <c r="A17" s="223">
        <v>3</v>
      </c>
      <c r="B17" s="40" t="s">
        <v>396</v>
      </c>
      <c r="C17" s="40" t="s">
        <v>66</v>
      </c>
      <c r="D17" s="40" t="s">
        <v>553</v>
      </c>
      <c r="E17" s="40">
        <v>360733</v>
      </c>
      <c r="F17" s="16" t="s">
        <v>560</v>
      </c>
      <c r="G17" s="40" t="s">
        <v>561</v>
      </c>
      <c r="H17" s="40">
        <v>2040.201</v>
      </c>
      <c r="I17" s="40">
        <v>58.64</v>
      </c>
      <c r="J17" s="99">
        <v>12</v>
      </c>
      <c r="K17" s="16" t="s">
        <v>505</v>
      </c>
      <c r="L17" s="16" t="s">
        <v>556</v>
      </c>
      <c r="M17" s="40">
        <v>2002</v>
      </c>
      <c r="N17" s="40">
        <v>2020</v>
      </c>
      <c r="O17" s="16" t="s">
        <v>496</v>
      </c>
      <c r="P17" s="161" t="s">
        <v>557</v>
      </c>
      <c r="Q17" s="40">
        <v>2</v>
      </c>
      <c r="R17" s="223" t="s">
        <v>562</v>
      </c>
      <c r="S17" s="16" t="s">
        <v>563</v>
      </c>
      <c r="T17" s="40">
        <v>75</v>
      </c>
      <c r="U17" s="40">
        <v>60</v>
      </c>
      <c r="V17" s="192">
        <f t="shared" si="8"/>
        <v>51</v>
      </c>
      <c r="W17" s="192">
        <f t="shared" si="9"/>
        <v>51</v>
      </c>
      <c r="X17" s="16" t="s">
        <v>511</v>
      </c>
      <c r="Y17" s="16" t="s">
        <v>551</v>
      </c>
      <c r="Z17" s="16" t="s">
        <v>552</v>
      </c>
      <c r="AA17" s="223" t="s">
        <v>318</v>
      </c>
      <c r="AB17" s="150"/>
      <c r="AC17" s="228"/>
    </row>
    <row r="18" s="227" customFormat="1" ht="77" customHeight="1" spans="1:29">
      <c r="A18" s="223">
        <v>4</v>
      </c>
      <c r="B18" s="40" t="s">
        <v>415</v>
      </c>
      <c r="C18" s="40" t="s">
        <v>66</v>
      </c>
      <c r="D18" s="40" t="s">
        <v>423</v>
      </c>
      <c r="E18" s="40">
        <v>360703</v>
      </c>
      <c r="F18" s="16" t="s">
        <v>564</v>
      </c>
      <c r="G18" s="40" t="s">
        <v>565</v>
      </c>
      <c r="H18" s="40">
        <v>587.283</v>
      </c>
      <c r="I18" s="40">
        <v>256.2</v>
      </c>
      <c r="J18" s="99">
        <v>12</v>
      </c>
      <c r="K18" s="16" t="s">
        <v>547</v>
      </c>
      <c r="L18" s="16" t="s">
        <v>556</v>
      </c>
      <c r="M18" s="40">
        <v>2003</v>
      </c>
      <c r="N18" s="40">
        <v>2022</v>
      </c>
      <c r="O18" s="16" t="s">
        <v>496</v>
      </c>
      <c r="P18" s="161">
        <v>2022.12</v>
      </c>
      <c r="Q18" s="40">
        <v>2</v>
      </c>
      <c r="R18" s="223" t="s">
        <v>566</v>
      </c>
      <c r="S18" s="16" t="s">
        <v>567</v>
      </c>
      <c r="T18" s="40">
        <f>U18*1.2</f>
        <v>352.416</v>
      </c>
      <c r="U18" s="40">
        <v>293.68</v>
      </c>
      <c r="V18" s="192">
        <f t="shared" si="8"/>
        <v>250</v>
      </c>
      <c r="W18" s="192">
        <f t="shared" si="9"/>
        <v>250</v>
      </c>
      <c r="X18" s="16" t="s">
        <v>511</v>
      </c>
      <c r="Y18" s="16" t="s">
        <v>551</v>
      </c>
      <c r="Z18" s="16" t="s">
        <v>552</v>
      </c>
      <c r="AA18" s="223" t="s">
        <v>428</v>
      </c>
      <c r="AB18" s="150"/>
      <c r="AC18" s="228"/>
    </row>
    <row r="19" s="227" customFormat="1" ht="77" customHeight="1" spans="1:29">
      <c r="A19" s="223">
        <v>5</v>
      </c>
      <c r="B19" s="40" t="s">
        <v>533</v>
      </c>
      <c r="C19" s="40" t="s">
        <v>210</v>
      </c>
      <c r="D19" s="40" t="s">
        <v>349</v>
      </c>
      <c r="E19" s="40">
        <v>360724</v>
      </c>
      <c r="F19" s="16" t="s">
        <v>568</v>
      </c>
      <c r="G19" s="40" t="s">
        <v>569</v>
      </c>
      <c r="H19" s="40">
        <v>74.901</v>
      </c>
      <c r="I19" s="40">
        <v>15.8</v>
      </c>
      <c r="J19" s="99">
        <v>7.8</v>
      </c>
      <c r="K19" s="16" t="s">
        <v>536</v>
      </c>
      <c r="L19" s="16" t="s">
        <v>537</v>
      </c>
      <c r="M19" s="40">
        <v>1993</v>
      </c>
      <c r="N19" s="40"/>
      <c r="O19" s="16"/>
      <c r="P19" s="161" t="s">
        <v>570</v>
      </c>
      <c r="Q19" s="40">
        <v>2</v>
      </c>
      <c r="R19" s="223" t="s">
        <v>538</v>
      </c>
      <c r="S19" s="16" t="s">
        <v>571</v>
      </c>
      <c r="T19" s="40">
        <v>13.09</v>
      </c>
      <c r="U19" s="40">
        <v>11.85</v>
      </c>
      <c r="V19" s="192">
        <f t="shared" si="6"/>
        <v>9</v>
      </c>
      <c r="W19" s="192">
        <f t="shared" si="7"/>
        <v>9</v>
      </c>
      <c r="X19" s="16" t="s">
        <v>511</v>
      </c>
      <c r="Y19" s="16" t="s">
        <v>551</v>
      </c>
      <c r="Z19" s="16" t="s">
        <v>552</v>
      </c>
      <c r="AA19" s="223" t="s">
        <v>355</v>
      </c>
      <c r="AB19" s="150"/>
      <c r="AC19" s="228"/>
    </row>
    <row r="20" s="227" customFormat="1" ht="77" customHeight="1" spans="1:29">
      <c r="A20" s="223">
        <v>6</v>
      </c>
      <c r="B20" s="40" t="s">
        <v>533</v>
      </c>
      <c r="C20" s="40" t="s">
        <v>210</v>
      </c>
      <c r="D20" s="40" t="s">
        <v>349</v>
      </c>
      <c r="E20" s="40">
        <v>360724</v>
      </c>
      <c r="F20" s="16" t="s">
        <v>572</v>
      </c>
      <c r="G20" s="40" t="s">
        <v>573</v>
      </c>
      <c r="H20" s="40">
        <v>75.328</v>
      </c>
      <c r="I20" s="40">
        <v>16.5</v>
      </c>
      <c r="J20" s="99">
        <v>8.5</v>
      </c>
      <c r="K20" s="16" t="s">
        <v>536</v>
      </c>
      <c r="L20" s="16" t="s">
        <v>537</v>
      </c>
      <c r="M20" s="40">
        <v>1993</v>
      </c>
      <c r="N20" s="40"/>
      <c r="O20" s="16"/>
      <c r="P20" s="161" t="s">
        <v>570</v>
      </c>
      <c r="Q20" s="40">
        <v>2</v>
      </c>
      <c r="R20" s="223" t="s">
        <v>538</v>
      </c>
      <c r="S20" s="16" t="s">
        <v>574</v>
      </c>
      <c r="T20" s="40">
        <v>13.6</v>
      </c>
      <c r="U20" s="40">
        <v>12.37</v>
      </c>
      <c r="V20" s="192">
        <f t="shared" si="6"/>
        <v>10</v>
      </c>
      <c r="W20" s="192">
        <f t="shared" si="7"/>
        <v>10</v>
      </c>
      <c r="X20" s="16" t="s">
        <v>511</v>
      </c>
      <c r="Y20" s="16" t="s">
        <v>551</v>
      </c>
      <c r="Z20" s="16" t="s">
        <v>552</v>
      </c>
      <c r="AA20" s="223" t="s">
        <v>355</v>
      </c>
      <c r="AB20" s="150"/>
      <c r="AC20" s="228"/>
    </row>
    <row r="21" s="227" customFormat="1" ht="77" customHeight="1" spans="1:29">
      <c r="A21" s="223">
        <v>7</v>
      </c>
      <c r="B21" s="40" t="s">
        <v>533</v>
      </c>
      <c r="C21" s="40" t="s">
        <v>210</v>
      </c>
      <c r="D21" s="40" t="s">
        <v>349</v>
      </c>
      <c r="E21" s="40">
        <v>360724</v>
      </c>
      <c r="F21" s="16" t="s">
        <v>575</v>
      </c>
      <c r="G21" s="40" t="s">
        <v>576</v>
      </c>
      <c r="H21" s="40">
        <v>77.272</v>
      </c>
      <c r="I21" s="40">
        <v>24.5</v>
      </c>
      <c r="J21" s="99">
        <v>8.5</v>
      </c>
      <c r="K21" s="16" t="s">
        <v>536</v>
      </c>
      <c r="L21" s="16" t="s">
        <v>537</v>
      </c>
      <c r="M21" s="40">
        <v>1993</v>
      </c>
      <c r="N21" s="40"/>
      <c r="O21" s="16"/>
      <c r="P21" s="161" t="s">
        <v>570</v>
      </c>
      <c r="Q21" s="40">
        <v>2</v>
      </c>
      <c r="R21" s="223" t="s">
        <v>538</v>
      </c>
      <c r="S21" s="16" t="s">
        <v>577</v>
      </c>
      <c r="T21" s="40">
        <v>20.1</v>
      </c>
      <c r="U21" s="40">
        <v>18.3</v>
      </c>
      <c r="V21" s="192">
        <f t="shared" si="6"/>
        <v>15</v>
      </c>
      <c r="W21" s="192">
        <f t="shared" si="7"/>
        <v>15</v>
      </c>
      <c r="X21" s="16" t="s">
        <v>511</v>
      </c>
      <c r="Y21" s="16" t="s">
        <v>551</v>
      </c>
      <c r="Z21" s="16" t="s">
        <v>552</v>
      </c>
      <c r="AA21" s="223" t="s">
        <v>355</v>
      </c>
      <c r="AB21" s="150"/>
      <c r="AC21" s="228"/>
    </row>
    <row r="22" s="227" customFormat="1" ht="77" customHeight="1" spans="1:29">
      <c r="A22" s="223">
        <v>8</v>
      </c>
      <c r="B22" s="40" t="s">
        <v>415</v>
      </c>
      <c r="C22" s="40" t="s">
        <v>210</v>
      </c>
      <c r="D22" s="40" t="s">
        <v>232</v>
      </c>
      <c r="E22" s="40">
        <v>360725</v>
      </c>
      <c r="F22" s="16" t="s">
        <v>578</v>
      </c>
      <c r="G22" s="40" t="s">
        <v>579</v>
      </c>
      <c r="H22" s="40" t="s">
        <v>580</v>
      </c>
      <c r="I22" s="40" t="s">
        <v>581</v>
      </c>
      <c r="J22" s="99" t="s">
        <v>582</v>
      </c>
      <c r="K22" s="16" t="s">
        <v>505</v>
      </c>
      <c r="L22" s="16" t="s">
        <v>583</v>
      </c>
      <c r="M22" s="40" t="s">
        <v>584</v>
      </c>
      <c r="N22" s="40" t="s">
        <v>585</v>
      </c>
      <c r="O22" s="16" t="s">
        <v>496</v>
      </c>
      <c r="P22" s="161">
        <v>2022.12</v>
      </c>
      <c r="Q22" s="40">
        <v>2</v>
      </c>
      <c r="R22" s="223" t="s">
        <v>586</v>
      </c>
      <c r="S22" s="16" t="s">
        <v>587</v>
      </c>
      <c r="T22" s="40">
        <v>12.5</v>
      </c>
      <c r="U22" s="40">
        <v>11</v>
      </c>
      <c r="V22" s="192">
        <f t="shared" ref="V22:V30" si="10">U22*0.85</f>
        <v>9</v>
      </c>
      <c r="W22" s="192">
        <f t="shared" ref="W22:W30" si="11">U22*0.85</f>
        <v>9</v>
      </c>
      <c r="X22" s="16" t="s">
        <v>511</v>
      </c>
      <c r="Y22" s="16" t="s">
        <v>551</v>
      </c>
      <c r="Z22" s="16" t="s">
        <v>552</v>
      </c>
      <c r="AA22" s="223" t="s">
        <v>238</v>
      </c>
      <c r="AB22" s="150"/>
      <c r="AC22" s="228"/>
    </row>
    <row r="23" s="227" customFormat="1" ht="77" customHeight="1" spans="1:29">
      <c r="A23" s="223">
        <v>9</v>
      </c>
      <c r="B23" s="40" t="s">
        <v>588</v>
      </c>
      <c r="C23" s="40" t="s">
        <v>66</v>
      </c>
      <c r="D23" s="40" t="s">
        <v>97</v>
      </c>
      <c r="E23" s="40">
        <v>360732</v>
      </c>
      <c r="F23" s="16" t="s">
        <v>589</v>
      </c>
      <c r="G23" s="40" t="s">
        <v>590</v>
      </c>
      <c r="H23" s="40">
        <v>45.763</v>
      </c>
      <c r="I23" s="40">
        <v>85</v>
      </c>
      <c r="J23" s="99">
        <v>12</v>
      </c>
      <c r="K23" s="16" t="s">
        <v>547</v>
      </c>
      <c r="L23" s="16" t="s">
        <v>530</v>
      </c>
      <c r="M23" s="40">
        <v>2013</v>
      </c>
      <c r="N23" s="40">
        <v>2022</v>
      </c>
      <c r="O23" s="16" t="s">
        <v>496</v>
      </c>
      <c r="P23" s="161">
        <v>2022.12</v>
      </c>
      <c r="Q23" s="40">
        <v>2</v>
      </c>
      <c r="R23" s="223" t="s">
        <v>591</v>
      </c>
      <c r="S23" s="16" t="s">
        <v>592</v>
      </c>
      <c r="T23" s="40">
        <f t="shared" ref="T23:T29" si="12">ROUND(U23*1.13,0)</f>
        <v>40</v>
      </c>
      <c r="U23" s="40">
        <v>35</v>
      </c>
      <c r="V23" s="192">
        <f>U23*0.8</f>
        <v>28</v>
      </c>
      <c r="W23" s="192">
        <f>U23*0.8</f>
        <v>28</v>
      </c>
      <c r="X23" s="16" t="s">
        <v>511</v>
      </c>
      <c r="Y23" s="16" t="s">
        <v>551</v>
      </c>
      <c r="Z23" s="16" t="s">
        <v>552</v>
      </c>
      <c r="AA23" s="223" t="s">
        <v>103</v>
      </c>
      <c r="AB23" s="150"/>
      <c r="AC23" s="228"/>
    </row>
    <row r="24" s="227" customFormat="1" ht="77" customHeight="1" spans="1:29">
      <c r="A24" s="223">
        <v>10</v>
      </c>
      <c r="B24" s="40" t="s">
        <v>98</v>
      </c>
      <c r="C24" s="40" t="s">
        <v>66</v>
      </c>
      <c r="D24" s="40" t="s">
        <v>97</v>
      </c>
      <c r="E24" s="40">
        <v>360732</v>
      </c>
      <c r="F24" s="16" t="s">
        <v>593</v>
      </c>
      <c r="G24" s="40" t="s">
        <v>594</v>
      </c>
      <c r="H24" s="40">
        <v>912.847</v>
      </c>
      <c r="I24" s="40">
        <v>20.33</v>
      </c>
      <c r="J24" s="99">
        <v>12</v>
      </c>
      <c r="K24" s="16" t="s">
        <v>547</v>
      </c>
      <c r="L24" s="16" t="s">
        <v>530</v>
      </c>
      <c r="M24" s="40">
        <v>2003</v>
      </c>
      <c r="N24" s="40"/>
      <c r="O24" s="16"/>
      <c r="P24" s="161">
        <v>2024.6</v>
      </c>
      <c r="Q24" s="40">
        <v>2</v>
      </c>
      <c r="R24" s="223" t="s">
        <v>595</v>
      </c>
      <c r="S24" s="16" t="s">
        <v>596</v>
      </c>
      <c r="T24" s="40">
        <f t="shared" si="12"/>
        <v>17</v>
      </c>
      <c r="U24" s="40">
        <v>15</v>
      </c>
      <c r="V24" s="192">
        <f t="shared" si="10"/>
        <v>13</v>
      </c>
      <c r="W24" s="192">
        <f t="shared" si="11"/>
        <v>13</v>
      </c>
      <c r="X24" s="16" t="s">
        <v>511</v>
      </c>
      <c r="Y24" s="16" t="s">
        <v>551</v>
      </c>
      <c r="Z24" s="16" t="s">
        <v>552</v>
      </c>
      <c r="AA24" s="223" t="s">
        <v>103</v>
      </c>
      <c r="AB24" s="150"/>
      <c r="AC24" s="228"/>
    </row>
    <row r="25" s="227" customFormat="1" ht="101" customHeight="1" spans="1:29">
      <c r="A25" s="223">
        <v>11</v>
      </c>
      <c r="B25" s="40" t="s">
        <v>98</v>
      </c>
      <c r="C25" s="40" t="s">
        <v>66</v>
      </c>
      <c r="D25" s="40" t="s">
        <v>97</v>
      </c>
      <c r="E25" s="40">
        <v>360732</v>
      </c>
      <c r="F25" s="16" t="s">
        <v>597</v>
      </c>
      <c r="G25" s="40" t="s">
        <v>598</v>
      </c>
      <c r="H25" s="40">
        <v>950.992</v>
      </c>
      <c r="I25" s="40">
        <v>20.52</v>
      </c>
      <c r="J25" s="99">
        <v>12</v>
      </c>
      <c r="K25" s="16" t="s">
        <v>547</v>
      </c>
      <c r="L25" s="16" t="s">
        <v>530</v>
      </c>
      <c r="M25" s="40">
        <v>2003</v>
      </c>
      <c r="N25" s="40"/>
      <c r="O25" s="16"/>
      <c r="P25" s="161">
        <v>2024.6</v>
      </c>
      <c r="Q25" s="40">
        <v>2</v>
      </c>
      <c r="R25" s="223" t="s">
        <v>599</v>
      </c>
      <c r="S25" s="16" t="s">
        <v>600</v>
      </c>
      <c r="T25" s="40">
        <f t="shared" si="12"/>
        <v>28</v>
      </c>
      <c r="U25" s="40">
        <v>25</v>
      </c>
      <c r="V25" s="192">
        <f t="shared" si="10"/>
        <v>21</v>
      </c>
      <c r="W25" s="192">
        <f t="shared" si="11"/>
        <v>21</v>
      </c>
      <c r="X25" s="16" t="s">
        <v>511</v>
      </c>
      <c r="Y25" s="16" t="s">
        <v>551</v>
      </c>
      <c r="Z25" s="16" t="s">
        <v>552</v>
      </c>
      <c r="AA25" s="223" t="s">
        <v>103</v>
      </c>
      <c r="AB25" s="150"/>
      <c r="AC25" s="228"/>
    </row>
    <row r="26" s="227" customFormat="1" ht="101" customHeight="1" spans="1:29">
      <c r="A26" s="223">
        <v>12</v>
      </c>
      <c r="B26" s="40" t="s">
        <v>98</v>
      </c>
      <c r="C26" s="40" t="s">
        <v>66</v>
      </c>
      <c r="D26" s="40" t="s">
        <v>97</v>
      </c>
      <c r="E26" s="40">
        <v>360732</v>
      </c>
      <c r="F26" s="16" t="s">
        <v>601</v>
      </c>
      <c r="G26" s="40" t="s">
        <v>602</v>
      </c>
      <c r="H26" s="40">
        <v>954.451</v>
      </c>
      <c r="I26" s="40">
        <v>36.6</v>
      </c>
      <c r="J26" s="99">
        <v>14</v>
      </c>
      <c r="K26" s="16" t="s">
        <v>547</v>
      </c>
      <c r="L26" s="16" t="s">
        <v>530</v>
      </c>
      <c r="M26" s="40">
        <v>2003</v>
      </c>
      <c r="N26" s="40"/>
      <c r="O26" s="16"/>
      <c r="P26" s="161">
        <v>2024.6</v>
      </c>
      <c r="Q26" s="40">
        <v>2</v>
      </c>
      <c r="R26" s="223" t="s">
        <v>599</v>
      </c>
      <c r="S26" s="16" t="s">
        <v>603</v>
      </c>
      <c r="T26" s="40">
        <f t="shared" si="12"/>
        <v>40</v>
      </c>
      <c r="U26" s="40">
        <v>35</v>
      </c>
      <c r="V26" s="192">
        <f t="shared" si="10"/>
        <v>30</v>
      </c>
      <c r="W26" s="192">
        <f t="shared" si="11"/>
        <v>30</v>
      </c>
      <c r="X26" s="16" t="s">
        <v>511</v>
      </c>
      <c r="Y26" s="16" t="s">
        <v>551</v>
      </c>
      <c r="Z26" s="16" t="s">
        <v>552</v>
      </c>
      <c r="AA26" s="223" t="s">
        <v>103</v>
      </c>
      <c r="AB26" s="150"/>
      <c r="AC26" s="228"/>
    </row>
    <row r="27" s="227" customFormat="1" ht="101" customHeight="1" spans="1:29">
      <c r="A27" s="223">
        <v>13</v>
      </c>
      <c r="B27" s="40" t="s">
        <v>98</v>
      </c>
      <c r="C27" s="40" t="s">
        <v>66</v>
      </c>
      <c r="D27" s="40" t="s">
        <v>97</v>
      </c>
      <c r="E27" s="40">
        <v>360732</v>
      </c>
      <c r="F27" s="16" t="s">
        <v>604</v>
      </c>
      <c r="G27" s="40" t="s">
        <v>605</v>
      </c>
      <c r="H27" s="40">
        <v>955.075</v>
      </c>
      <c r="I27" s="40">
        <v>27.9</v>
      </c>
      <c r="J27" s="99">
        <v>12</v>
      </c>
      <c r="K27" s="16" t="s">
        <v>547</v>
      </c>
      <c r="L27" s="16" t="s">
        <v>530</v>
      </c>
      <c r="M27" s="40">
        <v>2003</v>
      </c>
      <c r="N27" s="40"/>
      <c r="O27" s="16"/>
      <c r="P27" s="161">
        <v>2024.6</v>
      </c>
      <c r="Q27" s="40">
        <v>2</v>
      </c>
      <c r="R27" s="223" t="s">
        <v>606</v>
      </c>
      <c r="S27" s="16" t="s">
        <v>607</v>
      </c>
      <c r="T27" s="40">
        <f t="shared" si="12"/>
        <v>40</v>
      </c>
      <c r="U27" s="40">
        <v>35</v>
      </c>
      <c r="V27" s="192">
        <f t="shared" si="10"/>
        <v>30</v>
      </c>
      <c r="W27" s="192">
        <f t="shared" si="11"/>
        <v>30</v>
      </c>
      <c r="X27" s="16" t="s">
        <v>511</v>
      </c>
      <c r="Y27" s="16" t="s">
        <v>551</v>
      </c>
      <c r="Z27" s="16" t="s">
        <v>552</v>
      </c>
      <c r="AA27" s="223" t="s">
        <v>103</v>
      </c>
      <c r="AB27" s="150"/>
      <c r="AC27" s="228"/>
    </row>
    <row r="28" s="227" customFormat="1" ht="101" customHeight="1" spans="1:29">
      <c r="A28" s="223">
        <v>14</v>
      </c>
      <c r="B28" s="40" t="s">
        <v>98</v>
      </c>
      <c r="C28" s="40" t="s">
        <v>66</v>
      </c>
      <c r="D28" s="40" t="s">
        <v>97</v>
      </c>
      <c r="E28" s="40">
        <v>360732</v>
      </c>
      <c r="F28" s="16" t="s">
        <v>608</v>
      </c>
      <c r="G28" s="16" t="s">
        <v>609</v>
      </c>
      <c r="H28" s="40">
        <v>955.961</v>
      </c>
      <c r="I28" s="40">
        <v>25.14</v>
      </c>
      <c r="J28" s="99">
        <v>12</v>
      </c>
      <c r="K28" s="16" t="s">
        <v>547</v>
      </c>
      <c r="L28" s="16" t="s">
        <v>530</v>
      </c>
      <c r="M28" s="40">
        <v>2003</v>
      </c>
      <c r="N28" s="40"/>
      <c r="O28" s="16"/>
      <c r="P28" s="161">
        <v>2024.6</v>
      </c>
      <c r="Q28" s="40">
        <v>2</v>
      </c>
      <c r="R28" s="223" t="s">
        <v>610</v>
      </c>
      <c r="S28" s="16" t="s">
        <v>611</v>
      </c>
      <c r="T28" s="40">
        <f t="shared" si="12"/>
        <v>28</v>
      </c>
      <c r="U28" s="40">
        <v>25</v>
      </c>
      <c r="V28" s="192">
        <f t="shared" si="10"/>
        <v>21</v>
      </c>
      <c r="W28" s="192">
        <f t="shared" si="11"/>
        <v>21</v>
      </c>
      <c r="X28" s="16" t="s">
        <v>511</v>
      </c>
      <c r="Y28" s="16" t="s">
        <v>551</v>
      </c>
      <c r="Z28" s="16" t="s">
        <v>552</v>
      </c>
      <c r="AA28" s="223" t="s">
        <v>103</v>
      </c>
      <c r="AB28" s="150"/>
      <c r="AC28" s="228"/>
    </row>
    <row r="29" s="227" customFormat="1" ht="101" customHeight="1" spans="1:29">
      <c r="A29" s="223">
        <v>15</v>
      </c>
      <c r="B29" s="40" t="s">
        <v>98</v>
      </c>
      <c r="C29" s="40" t="s">
        <v>66</v>
      </c>
      <c r="D29" s="40" t="s">
        <v>97</v>
      </c>
      <c r="E29" s="40">
        <v>360732</v>
      </c>
      <c r="F29" s="16" t="s">
        <v>612</v>
      </c>
      <c r="G29" s="40" t="s">
        <v>613</v>
      </c>
      <c r="H29" s="40">
        <v>956.487</v>
      </c>
      <c r="I29" s="40">
        <v>20.69</v>
      </c>
      <c r="J29" s="99">
        <v>12</v>
      </c>
      <c r="K29" s="16" t="s">
        <v>547</v>
      </c>
      <c r="L29" s="16" t="s">
        <v>530</v>
      </c>
      <c r="M29" s="40">
        <v>2003</v>
      </c>
      <c r="N29" s="40"/>
      <c r="O29" s="16"/>
      <c r="P29" s="161">
        <v>2024.6</v>
      </c>
      <c r="Q29" s="40">
        <v>2</v>
      </c>
      <c r="R29" s="223" t="s">
        <v>610</v>
      </c>
      <c r="S29" s="16" t="s">
        <v>614</v>
      </c>
      <c r="T29" s="40">
        <f t="shared" si="12"/>
        <v>28</v>
      </c>
      <c r="U29" s="40">
        <v>25</v>
      </c>
      <c r="V29" s="192">
        <f t="shared" si="10"/>
        <v>21</v>
      </c>
      <c r="W29" s="192">
        <f t="shared" si="11"/>
        <v>21</v>
      </c>
      <c r="X29" s="16" t="s">
        <v>511</v>
      </c>
      <c r="Y29" s="16" t="s">
        <v>551</v>
      </c>
      <c r="Z29" s="16" t="s">
        <v>552</v>
      </c>
      <c r="AA29" s="223" t="s">
        <v>103</v>
      </c>
      <c r="AB29" s="150"/>
      <c r="AC29" s="228"/>
    </row>
    <row r="30" s="227" customFormat="1" ht="77" customHeight="1" spans="1:29">
      <c r="A30" s="223">
        <v>16</v>
      </c>
      <c r="B30" s="40" t="s">
        <v>178</v>
      </c>
      <c r="C30" s="40" t="s">
        <v>66</v>
      </c>
      <c r="D30" s="40" t="s">
        <v>177</v>
      </c>
      <c r="E30" s="40">
        <v>360735</v>
      </c>
      <c r="F30" s="16" t="s">
        <v>615</v>
      </c>
      <c r="G30" s="40" t="s">
        <v>616</v>
      </c>
      <c r="H30" s="40">
        <v>482.482</v>
      </c>
      <c r="I30" s="40">
        <v>245.8</v>
      </c>
      <c r="J30" s="99">
        <v>8.5</v>
      </c>
      <c r="K30" s="16" t="s">
        <v>617</v>
      </c>
      <c r="L30" s="16" t="s">
        <v>618</v>
      </c>
      <c r="M30" s="40">
        <v>2015</v>
      </c>
      <c r="N30" s="40"/>
      <c r="O30" s="16"/>
      <c r="P30" s="161">
        <v>2022.1</v>
      </c>
      <c r="Q30" s="40">
        <v>2</v>
      </c>
      <c r="R30" s="223" t="s">
        <v>586</v>
      </c>
      <c r="S30" s="16" t="s">
        <v>619</v>
      </c>
      <c r="T30" s="40">
        <v>43.13</v>
      </c>
      <c r="U30" s="40">
        <v>28.75</v>
      </c>
      <c r="V30" s="192">
        <f t="shared" si="10"/>
        <v>24</v>
      </c>
      <c r="W30" s="192">
        <f t="shared" si="11"/>
        <v>24</v>
      </c>
      <c r="X30" s="16" t="s">
        <v>511</v>
      </c>
      <c r="Y30" s="16" t="s">
        <v>551</v>
      </c>
      <c r="Z30" s="16" t="s">
        <v>552</v>
      </c>
      <c r="AA30" s="223" t="s">
        <v>184</v>
      </c>
      <c r="AB30" s="150"/>
      <c r="AC30" s="228"/>
    </row>
    <row r="31" s="229" customFormat="1" spans="1:28">
      <c r="A31" s="234"/>
      <c r="B31" s="234"/>
      <c r="C31" s="234"/>
      <c r="D31" s="234"/>
      <c r="E31" s="234"/>
      <c r="F31" s="234"/>
      <c r="G31" s="234"/>
      <c r="H31" s="234"/>
      <c r="I31" s="238"/>
      <c r="J31" s="239"/>
      <c r="K31" s="234"/>
      <c r="L31" s="234"/>
      <c r="M31" s="234"/>
      <c r="N31" s="234"/>
      <c r="O31" s="234"/>
      <c r="P31" s="234"/>
      <c r="Q31" s="234"/>
      <c r="R31" s="234"/>
      <c r="S31" s="234"/>
      <c r="T31" s="238"/>
      <c r="U31" s="238"/>
      <c r="V31" s="238"/>
      <c r="W31" s="238"/>
      <c r="X31" s="234"/>
      <c r="Y31" s="234"/>
      <c r="Z31" s="234"/>
      <c r="AA31" s="234"/>
      <c r="AB31" s="234"/>
    </row>
    <row r="32" s="229" customFormat="1" spans="1:28">
      <c r="A32" s="234"/>
      <c r="B32" s="234"/>
      <c r="C32" s="234"/>
      <c r="D32" s="234"/>
      <c r="E32" s="234"/>
      <c r="F32" s="234"/>
      <c r="G32" s="234"/>
      <c r="H32" s="234"/>
      <c r="I32" s="238"/>
      <c r="J32" s="239"/>
      <c r="K32" s="234"/>
      <c r="L32" s="234"/>
      <c r="M32" s="234"/>
      <c r="N32" s="234"/>
      <c r="O32" s="234"/>
      <c r="P32" s="234"/>
      <c r="Q32" s="234"/>
      <c r="R32" s="234"/>
      <c r="S32" s="234"/>
      <c r="T32" s="238"/>
      <c r="U32" s="238"/>
      <c r="V32" s="238"/>
      <c r="W32" s="238"/>
      <c r="X32" s="234"/>
      <c r="Y32" s="234"/>
      <c r="Z32" s="234"/>
      <c r="AA32" s="234"/>
      <c r="AB32" s="234"/>
    </row>
    <row r="33" s="229" customFormat="1" spans="1:28">
      <c r="A33" s="234"/>
      <c r="B33" s="234"/>
      <c r="C33" s="234"/>
      <c r="D33" s="234"/>
      <c r="E33" s="234"/>
      <c r="F33" s="234"/>
      <c r="G33" s="234"/>
      <c r="H33" s="234"/>
      <c r="I33" s="238"/>
      <c r="J33" s="239"/>
      <c r="K33" s="234"/>
      <c r="L33" s="234"/>
      <c r="M33" s="234"/>
      <c r="N33" s="234"/>
      <c r="O33" s="234"/>
      <c r="P33" s="234"/>
      <c r="Q33" s="234"/>
      <c r="R33" s="234"/>
      <c r="S33" s="234"/>
      <c r="T33" s="238"/>
      <c r="U33" s="238"/>
      <c r="V33" s="238"/>
      <c r="W33" s="238"/>
      <c r="X33" s="234"/>
      <c r="Y33" s="234"/>
      <c r="Z33" s="234"/>
      <c r="AA33" s="234"/>
      <c r="AB33" s="234"/>
    </row>
    <row r="34" s="229" customFormat="1" spans="1:28">
      <c r="A34" s="234"/>
      <c r="B34" s="234"/>
      <c r="C34" s="234"/>
      <c r="D34" s="234"/>
      <c r="E34" s="234"/>
      <c r="F34" s="234"/>
      <c r="G34" s="234"/>
      <c r="H34" s="234"/>
      <c r="I34" s="238"/>
      <c r="J34" s="239"/>
      <c r="K34" s="234"/>
      <c r="L34" s="234"/>
      <c r="M34" s="234"/>
      <c r="N34" s="234"/>
      <c r="O34" s="234"/>
      <c r="P34" s="234"/>
      <c r="Q34" s="234"/>
      <c r="R34" s="234"/>
      <c r="S34" s="234"/>
      <c r="T34" s="238"/>
      <c r="U34" s="238"/>
      <c r="V34" s="238"/>
      <c r="W34" s="238"/>
      <c r="X34" s="234"/>
      <c r="Y34" s="234"/>
      <c r="Z34" s="234"/>
      <c r="AA34" s="234"/>
      <c r="AB34" s="234"/>
    </row>
    <row r="35" s="229" customFormat="1" spans="1:28">
      <c r="A35" s="234"/>
      <c r="B35" s="234"/>
      <c r="C35" s="234"/>
      <c r="D35" s="234"/>
      <c r="E35" s="234"/>
      <c r="F35" s="234"/>
      <c r="G35" s="234"/>
      <c r="H35" s="234"/>
      <c r="I35" s="238"/>
      <c r="J35" s="239"/>
      <c r="K35" s="234"/>
      <c r="L35" s="234"/>
      <c r="M35" s="234"/>
      <c r="N35" s="234"/>
      <c r="O35" s="234"/>
      <c r="P35" s="234"/>
      <c r="Q35" s="234"/>
      <c r="R35" s="234"/>
      <c r="S35" s="234"/>
      <c r="T35" s="238"/>
      <c r="U35" s="238"/>
      <c r="V35" s="238"/>
      <c r="W35" s="238"/>
      <c r="X35" s="234"/>
      <c r="Y35" s="234"/>
      <c r="Z35" s="234"/>
      <c r="AA35" s="234"/>
      <c r="AB35" s="234"/>
    </row>
    <row r="36" s="229" customFormat="1" spans="1:28">
      <c r="A36" s="234"/>
      <c r="B36" s="234"/>
      <c r="C36" s="234"/>
      <c r="D36" s="234"/>
      <c r="E36" s="234"/>
      <c r="F36" s="234"/>
      <c r="G36" s="234"/>
      <c r="H36" s="234"/>
      <c r="I36" s="238"/>
      <c r="J36" s="239"/>
      <c r="K36" s="234"/>
      <c r="L36" s="234"/>
      <c r="M36" s="234"/>
      <c r="N36" s="234"/>
      <c r="O36" s="234"/>
      <c r="P36" s="234"/>
      <c r="Q36" s="234"/>
      <c r="R36" s="234"/>
      <c r="S36" s="234"/>
      <c r="T36" s="238"/>
      <c r="U36" s="238"/>
      <c r="V36" s="238"/>
      <c r="W36" s="238"/>
      <c r="X36" s="234"/>
      <c r="Y36" s="234"/>
      <c r="Z36" s="234"/>
      <c r="AA36" s="234"/>
      <c r="AB36" s="234"/>
    </row>
    <row r="37" s="229" customFormat="1" spans="1:28">
      <c r="A37" s="234"/>
      <c r="B37" s="234"/>
      <c r="C37" s="234"/>
      <c r="D37" s="234"/>
      <c r="E37" s="234"/>
      <c r="F37" s="234"/>
      <c r="G37" s="234"/>
      <c r="H37" s="234"/>
      <c r="I37" s="238"/>
      <c r="J37" s="239"/>
      <c r="K37" s="234"/>
      <c r="L37" s="234"/>
      <c r="M37" s="234"/>
      <c r="N37" s="234"/>
      <c r="O37" s="234"/>
      <c r="P37" s="234"/>
      <c r="Q37" s="234"/>
      <c r="R37" s="234"/>
      <c r="S37" s="234"/>
      <c r="T37" s="238"/>
      <c r="U37" s="238"/>
      <c r="V37" s="238"/>
      <c r="W37" s="238"/>
      <c r="X37" s="234"/>
      <c r="Y37" s="234"/>
      <c r="Z37" s="234"/>
      <c r="AA37" s="234"/>
      <c r="AB37" s="234"/>
    </row>
    <row r="38" s="229" customFormat="1" spans="1:28">
      <c r="A38" s="234"/>
      <c r="B38" s="234"/>
      <c r="C38" s="234"/>
      <c r="D38" s="234"/>
      <c r="E38" s="234"/>
      <c r="F38" s="234"/>
      <c r="G38" s="234"/>
      <c r="H38" s="234"/>
      <c r="I38" s="238"/>
      <c r="J38" s="239"/>
      <c r="K38" s="234"/>
      <c r="L38" s="234"/>
      <c r="M38" s="234"/>
      <c r="N38" s="234"/>
      <c r="O38" s="234"/>
      <c r="P38" s="234"/>
      <c r="Q38" s="234"/>
      <c r="R38" s="234"/>
      <c r="S38" s="234"/>
      <c r="T38" s="238"/>
      <c r="U38" s="238"/>
      <c r="V38" s="238"/>
      <c r="W38" s="238"/>
      <c r="X38" s="234"/>
      <c r="Y38" s="234"/>
      <c r="Z38" s="234"/>
      <c r="AA38" s="234"/>
      <c r="AB38" s="234"/>
    </row>
    <row r="39" s="229" customFormat="1" spans="1:28">
      <c r="A39" s="234"/>
      <c r="B39" s="234"/>
      <c r="C39" s="234"/>
      <c r="D39" s="234"/>
      <c r="E39" s="234"/>
      <c r="F39" s="234"/>
      <c r="G39" s="234"/>
      <c r="H39" s="234"/>
      <c r="I39" s="238"/>
      <c r="J39" s="239"/>
      <c r="K39" s="234"/>
      <c r="L39" s="234"/>
      <c r="M39" s="234"/>
      <c r="N39" s="234"/>
      <c r="O39" s="234"/>
      <c r="P39" s="234"/>
      <c r="Q39" s="234"/>
      <c r="R39" s="234"/>
      <c r="S39" s="234"/>
      <c r="T39" s="238"/>
      <c r="U39" s="238"/>
      <c r="V39" s="238"/>
      <c r="W39" s="238"/>
      <c r="X39" s="234"/>
      <c r="Y39" s="234"/>
      <c r="Z39" s="234"/>
      <c r="AA39" s="234"/>
      <c r="AB39" s="234"/>
    </row>
  </sheetData>
  <autoFilter xmlns:etc="http://www.wps.cn/officeDocument/2017/etCustomData" ref="A3:AB30" etc:filterBottomFollowUsedRange="0">
    <extLst/>
  </autoFilter>
  <mergeCells count="15">
    <mergeCell ref="A1:AB1"/>
    <mergeCell ref="B2:S2"/>
    <mergeCell ref="A4:G4"/>
    <mergeCell ref="A5:G5"/>
    <mergeCell ref="A10:G10"/>
    <mergeCell ref="A14:G14"/>
    <mergeCell ref="A2:A3"/>
    <mergeCell ref="T2:T3"/>
    <mergeCell ref="U2:U3"/>
    <mergeCell ref="V2:V3"/>
    <mergeCell ref="X2:X3"/>
    <mergeCell ref="Y2:Y3"/>
    <mergeCell ref="Z2:Z3"/>
    <mergeCell ref="AA2:AA3"/>
    <mergeCell ref="AB2:AB3"/>
  </mergeCells>
  <printOptions horizontalCentered="1"/>
  <pageMargins left="0.200694444444444" right="0.200694444444444" top="0.393055555555556" bottom="0.472222222222222" header="0.10625" footer="0.10625"/>
  <pageSetup paperSize="9" scale="57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6"/>
  <sheetViews>
    <sheetView topLeftCell="G1" workbookViewId="0">
      <selection activeCell="AD5" sqref="AD5:AD6"/>
    </sheetView>
  </sheetViews>
  <sheetFormatPr defaultColWidth="9" defaultRowHeight="14.25" outlineLevelRow="5"/>
  <cols>
    <col min="1" max="1" width="4.38333333333333" style="216" customWidth="1"/>
    <col min="2" max="18" width="9" style="216"/>
    <col min="19" max="19" width="9.88333333333333" style="216"/>
    <col min="20" max="29" width="9" style="216"/>
    <col min="30" max="30" width="10" style="216" customWidth="1"/>
    <col min="31" max="16384" width="9" style="216"/>
  </cols>
  <sheetData>
    <row r="1" s="212" customFormat="1" ht="53" customHeight="1" spans="1:30">
      <c r="A1" s="217" t="s">
        <v>620</v>
      </c>
      <c r="B1" s="217"/>
      <c r="C1" s="217"/>
      <c r="D1" s="217"/>
      <c r="E1" s="217"/>
      <c r="F1" s="217"/>
      <c r="G1" s="217"/>
      <c r="H1" s="217"/>
      <c r="I1" s="217"/>
      <c r="J1" s="224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24"/>
      <c r="X1" s="224"/>
      <c r="Y1" s="224"/>
      <c r="Z1" s="217"/>
      <c r="AA1" s="217"/>
      <c r="AB1" s="217"/>
      <c r="AC1" s="217"/>
      <c r="AD1" s="217"/>
    </row>
    <row r="2" s="213" customFormat="1" ht="29" customHeight="1" spans="1:30">
      <c r="A2" s="218" t="s">
        <v>1</v>
      </c>
      <c r="B2" s="218" t="s">
        <v>466</v>
      </c>
      <c r="C2" s="218"/>
      <c r="D2" s="218"/>
      <c r="E2" s="218"/>
      <c r="F2" s="218"/>
      <c r="G2" s="218"/>
      <c r="H2" s="218"/>
      <c r="I2" s="218"/>
      <c r="J2" s="160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160" t="s">
        <v>5</v>
      </c>
      <c r="X2" s="160" t="s">
        <v>467</v>
      </c>
      <c r="Y2" s="160" t="s">
        <v>468</v>
      </c>
      <c r="Z2" s="218" t="s">
        <v>469</v>
      </c>
      <c r="AA2" s="218" t="s">
        <v>470</v>
      </c>
      <c r="AB2" s="218" t="s">
        <v>40</v>
      </c>
      <c r="AC2" s="218" t="s">
        <v>41</v>
      </c>
      <c r="AD2" s="218" t="s">
        <v>48</v>
      </c>
    </row>
    <row r="3" s="214" customFormat="1" ht="40.5" spans="1:30">
      <c r="A3" s="218"/>
      <c r="B3" s="218" t="s">
        <v>472</v>
      </c>
      <c r="C3" s="218" t="s">
        <v>473</v>
      </c>
      <c r="D3" s="218" t="s">
        <v>474</v>
      </c>
      <c r="E3" s="218" t="s">
        <v>475</v>
      </c>
      <c r="F3" s="218" t="s">
        <v>621</v>
      </c>
      <c r="G3" s="218" t="s">
        <v>622</v>
      </c>
      <c r="H3" s="219" t="s">
        <v>623</v>
      </c>
      <c r="I3" s="219" t="s">
        <v>624</v>
      </c>
      <c r="J3" s="225" t="s">
        <v>625</v>
      </c>
      <c r="K3" s="225" t="s">
        <v>626</v>
      </c>
      <c r="L3" s="160" t="s">
        <v>627</v>
      </c>
      <c r="M3" s="160" t="s">
        <v>628</v>
      </c>
      <c r="N3" s="160" t="s">
        <v>629</v>
      </c>
      <c r="O3" s="160" t="s">
        <v>630</v>
      </c>
      <c r="P3" s="218" t="s">
        <v>483</v>
      </c>
      <c r="Q3" s="218" t="s">
        <v>484</v>
      </c>
      <c r="R3" s="218" t="s">
        <v>485</v>
      </c>
      <c r="S3" s="218" t="s">
        <v>486</v>
      </c>
      <c r="T3" s="218" t="s">
        <v>487</v>
      </c>
      <c r="U3" s="218" t="s">
        <v>488</v>
      </c>
      <c r="V3" s="218" t="s">
        <v>489</v>
      </c>
      <c r="W3" s="160"/>
      <c r="X3" s="160"/>
      <c r="Y3" s="160"/>
      <c r="Z3" s="218"/>
      <c r="AA3" s="218"/>
      <c r="AB3" s="218"/>
      <c r="AC3" s="218"/>
      <c r="AD3" s="218"/>
    </row>
    <row r="4" s="215" customFormat="1" ht="48" customHeight="1" spans="1:30">
      <c r="A4" s="220" t="s">
        <v>55</v>
      </c>
      <c r="B4" s="221"/>
      <c r="C4" s="221"/>
      <c r="D4" s="222"/>
      <c r="E4" s="125"/>
      <c r="F4" s="125"/>
      <c r="G4" s="125"/>
      <c r="H4" s="77"/>
      <c r="I4" s="77"/>
      <c r="J4" s="145"/>
      <c r="K4" s="194"/>
      <c r="L4" s="194"/>
      <c r="M4" s="194"/>
      <c r="N4" s="125"/>
      <c r="O4" s="125"/>
      <c r="P4" s="125"/>
      <c r="Q4" s="125"/>
      <c r="R4" s="125"/>
      <c r="S4" s="125"/>
      <c r="T4" s="125"/>
      <c r="U4" s="125"/>
      <c r="V4" s="125"/>
      <c r="W4" s="145">
        <f>SUM(W5:W6)</f>
        <v>70</v>
      </c>
      <c r="X4" s="145">
        <f>SUM(X5:X6)</f>
        <v>60</v>
      </c>
      <c r="Y4" s="145"/>
      <c r="Z4" s="125"/>
      <c r="AA4" s="125"/>
      <c r="AB4" s="125"/>
      <c r="AC4" s="125"/>
      <c r="AD4" s="125"/>
    </row>
    <row r="5" s="215" customFormat="1" ht="94" customHeight="1" spans="1:30">
      <c r="A5" s="223">
        <v>1</v>
      </c>
      <c r="B5" s="45" t="s">
        <v>631</v>
      </c>
      <c r="C5" s="45" t="s">
        <v>66</v>
      </c>
      <c r="D5" s="223" t="s">
        <v>62</v>
      </c>
      <c r="E5" s="223">
        <v>360728</v>
      </c>
      <c r="F5" s="223" t="s">
        <v>632</v>
      </c>
      <c r="G5" s="223" t="s">
        <v>633</v>
      </c>
      <c r="H5" s="24">
        <v>39.832</v>
      </c>
      <c r="I5" s="19" t="s">
        <v>352</v>
      </c>
      <c r="J5" s="146" t="s">
        <v>634</v>
      </c>
      <c r="K5" s="195" t="s">
        <v>210</v>
      </c>
      <c r="L5" s="195">
        <v>350</v>
      </c>
      <c r="M5" s="195">
        <v>8</v>
      </c>
      <c r="N5" s="223">
        <v>7</v>
      </c>
      <c r="O5" s="223">
        <v>5.5</v>
      </c>
      <c r="P5" s="223">
        <v>1999</v>
      </c>
      <c r="Q5" s="223">
        <v>2020</v>
      </c>
      <c r="R5" s="223" t="s">
        <v>635</v>
      </c>
      <c r="S5" s="161" t="s">
        <v>497</v>
      </c>
      <c r="T5" s="223">
        <v>3</v>
      </c>
      <c r="U5" s="223" t="s">
        <v>636</v>
      </c>
      <c r="V5" s="223" t="s">
        <v>637</v>
      </c>
      <c r="W5" s="146">
        <v>35</v>
      </c>
      <c r="X5" s="146">
        <f>W5*0.85</f>
        <v>30</v>
      </c>
      <c r="Y5" s="146"/>
      <c r="Z5" s="223" t="s">
        <v>638</v>
      </c>
      <c r="AA5" s="223" t="s">
        <v>639</v>
      </c>
      <c r="AB5" s="223" t="s">
        <v>640</v>
      </c>
      <c r="AC5" s="223" t="s">
        <v>70</v>
      </c>
      <c r="AD5" s="223"/>
    </row>
    <row r="6" s="215" customFormat="1" ht="94" customHeight="1" spans="1:30">
      <c r="A6" s="223">
        <v>2</v>
      </c>
      <c r="B6" s="45" t="s">
        <v>641</v>
      </c>
      <c r="C6" s="45" t="s">
        <v>66</v>
      </c>
      <c r="D6" s="223" t="s">
        <v>232</v>
      </c>
      <c r="E6" s="223">
        <v>360725</v>
      </c>
      <c r="F6" s="223" t="s">
        <v>642</v>
      </c>
      <c r="G6" s="223" t="s">
        <v>643</v>
      </c>
      <c r="H6" s="24">
        <v>639.37</v>
      </c>
      <c r="I6" s="19" t="s">
        <v>644</v>
      </c>
      <c r="J6" s="146" t="s">
        <v>634</v>
      </c>
      <c r="K6" s="195" t="s">
        <v>210</v>
      </c>
      <c r="L6" s="195">
        <v>338.7</v>
      </c>
      <c r="M6" s="195">
        <v>10.5</v>
      </c>
      <c r="N6" s="223">
        <v>9</v>
      </c>
      <c r="O6" s="223">
        <v>5</v>
      </c>
      <c r="P6" s="223">
        <v>2011</v>
      </c>
      <c r="Q6" s="223">
        <v>2020</v>
      </c>
      <c r="R6" s="223" t="s">
        <v>635</v>
      </c>
      <c r="S6" s="161" t="s">
        <v>497</v>
      </c>
      <c r="T6" s="223">
        <v>2</v>
      </c>
      <c r="U6" s="223" t="s">
        <v>636</v>
      </c>
      <c r="V6" s="223" t="s">
        <v>637</v>
      </c>
      <c r="W6" s="146">
        <v>35</v>
      </c>
      <c r="X6" s="146">
        <f>W6*0.85</f>
        <v>30</v>
      </c>
      <c r="Y6" s="146"/>
      <c r="Z6" s="223" t="s">
        <v>638</v>
      </c>
      <c r="AA6" s="223" t="s">
        <v>639</v>
      </c>
      <c r="AB6" s="223" t="s">
        <v>640</v>
      </c>
      <c r="AC6" s="223" t="s">
        <v>238</v>
      </c>
      <c r="AD6" s="223"/>
    </row>
  </sheetData>
  <mergeCells count="12">
    <mergeCell ref="A1:AD1"/>
    <mergeCell ref="B2:V2"/>
    <mergeCell ref="A4:D4"/>
    <mergeCell ref="A2:A3"/>
    <mergeCell ref="W2:W3"/>
    <mergeCell ref="X2:X3"/>
    <mergeCell ref="Y2:Y3"/>
    <mergeCell ref="Z2:Z3"/>
    <mergeCell ref="AA2:AA3"/>
    <mergeCell ref="AB2:AB3"/>
    <mergeCell ref="AC2:AC3"/>
    <mergeCell ref="AD2:AD3"/>
  </mergeCells>
  <printOptions horizontalCentered="1"/>
  <pageMargins left="0.75" right="0.75" top="1" bottom="1" header="0.5" footer="0.5"/>
  <pageSetup paperSize="9" scale="4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2"/>
  <sheetViews>
    <sheetView tabSelected="1" view="pageBreakPreview" zoomScaleNormal="90" workbookViewId="0">
      <pane ySplit="4" topLeftCell="A5" activePane="bottomLeft" state="frozen"/>
      <selection/>
      <selection pane="bottomLeft" activeCell="N14" sqref="N14"/>
    </sheetView>
  </sheetViews>
  <sheetFormatPr defaultColWidth="9" defaultRowHeight="13.5"/>
  <cols>
    <col min="1" max="1" width="4.26666666666667" style="171" customWidth="1"/>
    <col min="2" max="2" width="12.4166666666667" style="172" customWidth="1"/>
    <col min="3" max="3" width="8.44166666666667" style="172" customWidth="1"/>
    <col min="4" max="4" width="11.8833333333333" style="171" customWidth="1"/>
    <col min="5" max="5" width="8.95" style="171" customWidth="1"/>
    <col min="6" max="6" width="11.25" style="171" customWidth="1"/>
    <col min="7" max="7" width="9.06666666666667" style="171" customWidth="1"/>
    <col min="8" max="8" width="16.1" style="171" customWidth="1"/>
    <col min="9" max="9" width="9.06666666666667" style="171" customWidth="1"/>
    <col min="10" max="11" width="11.3916666666667" style="173" customWidth="1"/>
    <col min="12" max="13" width="9.9" style="171" customWidth="1"/>
    <col min="14" max="14" width="63.25" style="171" customWidth="1"/>
    <col min="15" max="15" width="14.7666666666667" style="171" customWidth="1"/>
    <col min="16" max="16384" width="9" style="171"/>
  </cols>
  <sheetData>
    <row r="1" s="169" customFormat="1" ht="52" customHeight="1" spans="1:15">
      <c r="A1" s="174" t="s">
        <v>645</v>
      </c>
      <c r="B1" s="175"/>
      <c r="C1" s="175"/>
      <c r="D1" s="174"/>
      <c r="E1" s="174"/>
      <c r="F1" s="174"/>
      <c r="G1" s="174"/>
      <c r="H1" s="174"/>
      <c r="I1" s="174"/>
      <c r="J1" s="182"/>
      <c r="K1" s="182"/>
      <c r="L1" s="174"/>
      <c r="M1" s="174"/>
      <c r="N1" s="174"/>
      <c r="O1" s="174"/>
    </row>
    <row r="2" s="169" customFormat="1" ht="21" customHeight="1" spans="1:15">
      <c r="A2" s="9" t="s">
        <v>1</v>
      </c>
      <c r="B2" s="10" t="s">
        <v>41</v>
      </c>
      <c r="C2" s="9" t="s">
        <v>29</v>
      </c>
      <c r="D2" s="9"/>
      <c r="E2" s="9"/>
      <c r="F2" s="9"/>
      <c r="G2" s="9"/>
      <c r="H2" s="9" t="s">
        <v>469</v>
      </c>
      <c r="I2" s="10" t="s">
        <v>646</v>
      </c>
      <c r="J2" s="183" t="s">
        <v>5</v>
      </c>
      <c r="K2" s="183" t="s">
        <v>647</v>
      </c>
      <c r="L2" s="184" t="s">
        <v>648</v>
      </c>
      <c r="M2" s="185"/>
      <c r="N2" s="9" t="s">
        <v>471</v>
      </c>
      <c r="O2" s="32" t="s">
        <v>48</v>
      </c>
    </row>
    <row r="3" ht="26" customHeight="1" spans="1:15">
      <c r="A3" s="9"/>
      <c r="B3" s="33"/>
      <c r="C3" s="176" t="s">
        <v>649</v>
      </c>
      <c r="D3" s="9" t="s">
        <v>650</v>
      </c>
      <c r="E3" s="9" t="s">
        <v>49</v>
      </c>
      <c r="F3" s="9" t="s">
        <v>651</v>
      </c>
      <c r="G3" s="9" t="s">
        <v>652</v>
      </c>
      <c r="H3" s="9"/>
      <c r="I3" s="33"/>
      <c r="J3" s="186"/>
      <c r="K3" s="186"/>
      <c r="L3" s="187"/>
      <c r="M3" s="188"/>
      <c r="N3" s="9"/>
      <c r="O3" s="34"/>
    </row>
    <row r="4" s="170" customFormat="1" ht="25" customHeight="1" spans="1:15">
      <c r="A4" s="12" t="s">
        <v>55</v>
      </c>
      <c r="B4" s="13"/>
      <c r="C4" s="13"/>
      <c r="D4" s="13"/>
      <c r="E4" s="13"/>
      <c r="F4" s="13"/>
      <c r="G4" s="13"/>
      <c r="H4" s="14"/>
      <c r="I4" s="15">
        <f t="shared" ref="I4:K4" si="0">I5+I12+I31+I35+I46+I92+I114+I153+I173</f>
        <v>98.1389999999997</v>
      </c>
      <c r="J4" s="145">
        <f t="shared" si="0"/>
        <v>2713</v>
      </c>
      <c r="K4" s="145">
        <f t="shared" si="0"/>
        <v>2307</v>
      </c>
      <c r="L4" s="12">
        <f>L5+M12+L31+M35+L46+M92+L114+L153+M173</f>
        <v>1066.5</v>
      </c>
      <c r="M4" s="14"/>
      <c r="N4" s="15"/>
      <c r="O4" s="189"/>
    </row>
    <row r="5" s="6" customFormat="1" ht="23" customHeight="1" spans="1:15">
      <c r="A5" s="12" t="s">
        <v>103</v>
      </c>
      <c r="B5" s="13"/>
      <c r="C5" s="13"/>
      <c r="D5" s="13"/>
      <c r="E5" s="13"/>
      <c r="F5" s="13"/>
      <c r="G5" s="13"/>
      <c r="H5" s="14"/>
      <c r="I5" s="15">
        <f t="shared" ref="I5:K5" si="1">SUM(I6:I11)</f>
        <v>8.85999999999992</v>
      </c>
      <c r="J5" s="145">
        <f t="shared" si="1"/>
        <v>470</v>
      </c>
      <c r="K5" s="145">
        <f t="shared" si="1"/>
        <v>416</v>
      </c>
      <c r="L5" s="15">
        <f>L6+L11</f>
        <v>171</v>
      </c>
      <c r="M5" s="15"/>
      <c r="N5" s="16"/>
      <c r="O5" s="16"/>
    </row>
    <row r="6" s="6" customFormat="1" ht="24" spans="1:15">
      <c r="A6" s="20">
        <v>1</v>
      </c>
      <c r="B6" s="20" t="s">
        <v>103</v>
      </c>
      <c r="C6" s="20" t="s">
        <v>98</v>
      </c>
      <c r="D6" s="16" t="s">
        <v>653</v>
      </c>
      <c r="E6" s="58">
        <v>900.1</v>
      </c>
      <c r="F6" s="40" t="s">
        <v>654</v>
      </c>
      <c r="G6" s="58">
        <v>901.85</v>
      </c>
      <c r="H6" s="20" t="s">
        <v>655</v>
      </c>
      <c r="I6" s="40">
        <f t="shared" ref="I6:I9" si="2">G6-E6</f>
        <v>1.75</v>
      </c>
      <c r="J6" s="177">
        <f t="shared" ref="J6:J9" si="3">K6*1.13</f>
        <v>99</v>
      </c>
      <c r="K6" s="177">
        <f t="shared" ref="K6:K9" si="4">I6*50</f>
        <v>88</v>
      </c>
      <c r="L6" s="177">
        <f>(I6+I7+I8+I9+I10)*20</f>
        <v>154</v>
      </c>
      <c r="M6" s="177">
        <f>(K6+K7+K8+K9+K10)*75%</f>
        <v>290</v>
      </c>
      <c r="N6" s="20" t="s">
        <v>656</v>
      </c>
      <c r="O6" s="16" t="s">
        <v>657</v>
      </c>
    </row>
    <row r="7" s="6" customFormat="1" ht="24" spans="1:15">
      <c r="A7" s="23">
        <v>2</v>
      </c>
      <c r="B7" s="23"/>
      <c r="C7" s="23"/>
      <c r="D7" s="16" t="s">
        <v>658</v>
      </c>
      <c r="E7" s="58">
        <v>909.94</v>
      </c>
      <c r="F7" s="40" t="s">
        <v>659</v>
      </c>
      <c r="G7" s="58">
        <v>912.03</v>
      </c>
      <c r="H7" s="20" t="s">
        <v>655</v>
      </c>
      <c r="I7" s="40">
        <f t="shared" si="2"/>
        <v>2.08999999999992</v>
      </c>
      <c r="J7" s="177">
        <f t="shared" si="3"/>
        <v>118</v>
      </c>
      <c r="K7" s="177">
        <f t="shared" si="4"/>
        <v>104</v>
      </c>
      <c r="L7" s="178"/>
      <c r="M7" s="178"/>
      <c r="N7" s="20" t="s">
        <v>656</v>
      </c>
      <c r="O7" s="16" t="s">
        <v>657</v>
      </c>
    </row>
    <row r="8" s="6" customFormat="1" ht="24" spans="1:15">
      <c r="A8" s="23">
        <v>3</v>
      </c>
      <c r="B8" s="23"/>
      <c r="C8" s="23"/>
      <c r="D8" s="16" t="s">
        <v>660</v>
      </c>
      <c r="E8" s="58">
        <v>913.18</v>
      </c>
      <c r="F8" s="40" t="s">
        <v>661</v>
      </c>
      <c r="G8" s="58">
        <v>914.4</v>
      </c>
      <c r="H8" s="20" t="s">
        <v>655</v>
      </c>
      <c r="I8" s="40">
        <f t="shared" si="2"/>
        <v>1.22000000000003</v>
      </c>
      <c r="J8" s="177">
        <f t="shared" si="3"/>
        <v>69</v>
      </c>
      <c r="K8" s="177">
        <f t="shared" si="4"/>
        <v>61</v>
      </c>
      <c r="L8" s="178"/>
      <c r="M8" s="178"/>
      <c r="N8" s="20" t="s">
        <v>662</v>
      </c>
      <c r="O8" s="16" t="s">
        <v>657</v>
      </c>
    </row>
    <row r="9" s="6" customFormat="1" ht="24" spans="1:15">
      <c r="A9" s="23">
        <v>4</v>
      </c>
      <c r="B9" s="23"/>
      <c r="C9" s="23"/>
      <c r="D9" s="16" t="s">
        <v>661</v>
      </c>
      <c r="E9" s="58">
        <v>915.45</v>
      </c>
      <c r="F9" s="40" t="s">
        <v>663</v>
      </c>
      <c r="G9" s="58">
        <v>916.11</v>
      </c>
      <c r="H9" s="20" t="s">
        <v>655</v>
      </c>
      <c r="I9" s="40">
        <f t="shared" si="2"/>
        <v>0.659999999999968</v>
      </c>
      <c r="J9" s="177">
        <f t="shared" si="3"/>
        <v>37</v>
      </c>
      <c r="K9" s="177">
        <f t="shared" si="4"/>
        <v>33</v>
      </c>
      <c r="L9" s="178"/>
      <c r="M9" s="178"/>
      <c r="N9" s="20" t="s">
        <v>662</v>
      </c>
      <c r="O9" s="16" t="s">
        <v>657</v>
      </c>
    </row>
    <row r="10" s="6" customFormat="1" ht="36" spans="1:15">
      <c r="A10" s="23">
        <v>5</v>
      </c>
      <c r="B10" s="23"/>
      <c r="C10" s="23"/>
      <c r="D10" s="16" t="s">
        <v>664</v>
      </c>
      <c r="E10" s="58">
        <v>954</v>
      </c>
      <c r="F10" s="40" t="s">
        <v>665</v>
      </c>
      <c r="G10" s="58">
        <v>956</v>
      </c>
      <c r="H10" s="20" t="s">
        <v>655</v>
      </c>
      <c r="I10" s="40">
        <v>2</v>
      </c>
      <c r="J10" s="177">
        <v>113</v>
      </c>
      <c r="K10" s="177">
        <v>100</v>
      </c>
      <c r="L10" s="178"/>
      <c r="M10" s="178"/>
      <c r="N10" s="20" t="s">
        <v>666</v>
      </c>
      <c r="O10" s="16" t="s">
        <v>657</v>
      </c>
    </row>
    <row r="11" s="6" customFormat="1" ht="24" spans="1:15">
      <c r="A11" s="16">
        <v>2</v>
      </c>
      <c r="B11" s="20" t="s">
        <v>103</v>
      </c>
      <c r="C11" s="20" t="s">
        <v>588</v>
      </c>
      <c r="D11" s="16" t="s">
        <v>667</v>
      </c>
      <c r="E11" s="58">
        <v>50.73</v>
      </c>
      <c r="F11" s="40" t="s">
        <v>668</v>
      </c>
      <c r="G11" s="58">
        <v>51.87</v>
      </c>
      <c r="H11" s="20" t="s">
        <v>655</v>
      </c>
      <c r="I11" s="40">
        <f t="shared" ref="I11:I14" si="5">G11-E11</f>
        <v>1.14</v>
      </c>
      <c r="J11" s="177">
        <v>34</v>
      </c>
      <c r="K11" s="177">
        <v>30</v>
      </c>
      <c r="L11" s="177">
        <f>I11*15</f>
        <v>17</v>
      </c>
      <c r="M11" s="177">
        <f>K11*60%</f>
        <v>18</v>
      </c>
      <c r="N11" s="20" t="s">
        <v>669</v>
      </c>
      <c r="O11" s="16" t="s">
        <v>657</v>
      </c>
    </row>
    <row r="12" s="6" customFormat="1" ht="25" customHeight="1" spans="1:15">
      <c r="A12" s="12" t="s">
        <v>157</v>
      </c>
      <c r="B12" s="13"/>
      <c r="C12" s="13"/>
      <c r="D12" s="13"/>
      <c r="E12" s="13"/>
      <c r="F12" s="13"/>
      <c r="G12" s="13"/>
      <c r="H12" s="14"/>
      <c r="I12" s="69">
        <f t="shared" ref="I12:K12" si="6">SUM(I13:I30)</f>
        <v>27.7199999999998</v>
      </c>
      <c r="J12" s="190">
        <f t="shared" si="6"/>
        <v>247</v>
      </c>
      <c r="K12" s="190">
        <f t="shared" si="6"/>
        <v>221</v>
      </c>
      <c r="L12" s="69"/>
      <c r="M12" s="69">
        <f>M13+M16+M20+M25</f>
        <v>166.5</v>
      </c>
      <c r="N12" s="16"/>
      <c r="O12" s="16"/>
    </row>
    <row r="13" s="6" customFormat="1" ht="24" spans="1:15">
      <c r="A13" s="177">
        <v>3</v>
      </c>
      <c r="B13" s="177" t="s">
        <v>157</v>
      </c>
      <c r="C13" s="16" t="s">
        <v>331</v>
      </c>
      <c r="D13" s="24" t="s">
        <v>670</v>
      </c>
      <c r="E13" s="24">
        <v>791.68</v>
      </c>
      <c r="F13" s="16" t="s">
        <v>671</v>
      </c>
      <c r="G13" s="24">
        <v>795.62</v>
      </c>
      <c r="H13" s="16" t="s">
        <v>672</v>
      </c>
      <c r="I13" s="16">
        <f t="shared" si="5"/>
        <v>3.94000000000005</v>
      </c>
      <c r="J13" s="146">
        <f>K13*1.1</f>
        <v>28</v>
      </c>
      <c r="K13" s="146">
        <v>25</v>
      </c>
      <c r="L13" s="177">
        <f>(I13+I14+I15)*20</f>
        <v>121</v>
      </c>
      <c r="M13" s="177">
        <f>(K13+K14+K15)*75%</f>
        <v>29</v>
      </c>
      <c r="N13" s="16" t="s">
        <v>673</v>
      </c>
      <c r="O13" s="16"/>
    </row>
    <row r="14" s="6" customFormat="1" ht="24" spans="1:15">
      <c r="A14" s="178">
        <v>2</v>
      </c>
      <c r="B14" s="178" t="s">
        <v>157</v>
      </c>
      <c r="C14" s="16" t="s">
        <v>331</v>
      </c>
      <c r="D14" s="40" t="s">
        <v>674</v>
      </c>
      <c r="E14" s="24">
        <v>805.2</v>
      </c>
      <c r="F14" s="40" t="s">
        <v>675</v>
      </c>
      <c r="G14" s="58">
        <v>806.3</v>
      </c>
      <c r="H14" s="16" t="s">
        <v>672</v>
      </c>
      <c r="I14" s="16">
        <f t="shared" si="5"/>
        <v>1.09999999999991</v>
      </c>
      <c r="J14" s="146">
        <f>K14*1.1</f>
        <v>10</v>
      </c>
      <c r="K14" s="146">
        <v>9</v>
      </c>
      <c r="L14" s="178"/>
      <c r="M14" s="178"/>
      <c r="N14" s="16" t="s">
        <v>676</v>
      </c>
      <c r="O14" s="16"/>
    </row>
    <row r="15" s="6" customFormat="1" ht="16" customHeight="1" spans="1:15">
      <c r="A15" s="179">
        <v>3</v>
      </c>
      <c r="B15" s="179" t="s">
        <v>157</v>
      </c>
      <c r="C15" s="16" t="s">
        <v>331</v>
      </c>
      <c r="D15" s="40" t="s">
        <v>677</v>
      </c>
      <c r="E15" s="24">
        <v>809.3</v>
      </c>
      <c r="F15" s="40" t="s">
        <v>678</v>
      </c>
      <c r="G15" s="58">
        <v>810.3</v>
      </c>
      <c r="H15" s="16" t="s">
        <v>672</v>
      </c>
      <c r="I15" s="40">
        <v>1</v>
      </c>
      <c r="J15" s="146">
        <v>4</v>
      </c>
      <c r="K15" s="146">
        <v>4</v>
      </c>
      <c r="L15" s="179"/>
      <c r="M15" s="179"/>
      <c r="N15" s="16" t="s">
        <v>679</v>
      </c>
      <c r="O15" s="16"/>
    </row>
    <row r="16" s="6" customFormat="1" ht="19" customHeight="1" spans="1:15">
      <c r="A16" s="177">
        <v>4</v>
      </c>
      <c r="B16" s="177" t="s">
        <v>157</v>
      </c>
      <c r="C16" s="16" t="s">
        <v>396</v>
      </c>
      <c r="D16" s="40" t="s">
        <v>680</v>
      </c>
      <c r="E16" s="24">
        <v>1988.4</v>
      </c>
      <c r="F16" s="40" t="s">
        <v>681</v>
      </c>
      <c r="G16" s="58">
        <v>1989.75</v>
      </c>
      <c r="H16" s="16" t="s">
        <v>672</v>
      </c>
      <c r="I16" s="40">
        <v>1.35</v>
      </c>
      <c r="J16" s="146">
        <v>9</v>
      </c>
      <c r="K16" s="146">
        <v>8</v>
      </c>
      <c r="L16" s="177">
        <f>(I16+I17+I18+I19)*20</f>
        <v>207</v>
      </c>
      <c r="M16" s="177">
        <f>(K16+K17+K18+K19)*75%</f>
        <v>69</v>
      </c>
      <c r="N16" s="16" t="s">
        <v>682</v>
      </c>
      <c r="O16" s="16"/>
    </row>
    <row r="17" s="6" customFormat="1" ht="24" spans="1:15">
      <c r="A17" s="178">
        <v>5</v>
      </c>
      <c r="B17" s="178" t="s">
        <v>157</v>
      </c>
      <c r="C17" s="16" t="s">
        <v>396</v>
      </c>
      <c r="D17" s="40" t="s">
        <v>683</v>
      </c>
      <c r="E17" s="24">
        <v>1996.6</v>
      </c>
      <c r="F17" s="40" t="s">
        <v>684</v>
      </c>
      <c r="G17" s="58">
        <v>1997.8</v>
      </c>
      <c r="H17" s="16" t="s">
        <v>685</v>
      </c>
      <c r="I17" s="40">
        <v>1.2</v>
      </c>
      <c r="J17" s="146">
        <v>8</v>
      </c>
      <c r="K17" s="146">
        <v>7</v>
      </c>
      <c r="L17" s="178"/>
      <c r="M17" s="178"/>
      <c r="N17" s="16" t="s">
        <v>686</v>
      </c>
      <c r="O17" s="16"/>
    </row>
    <row r="18" s="6" customFormat="1" ht="24" spans="1:15">
      <c r="A18" s="178">
        <v>6</v>
      </c>
      <c r="B18" s="178" t="s">
        <v>157</v>
      </c>
      <c r="C18" s="16" t="s">
        <v>396</v>
      </c>
      <c r="D18" s="40" t="s">
        <v>687</v>
      </c>
      <c r="E18" s="24">
        <v>2000</v>
      </c>
      <c r="F18" s="40" t="s">
        <v>688</v>
      </c>
      <c r="G18" s="58">
        <v>2006.8</v>
      </c>
      <c r="H18" s="16" t="s">
        <v>685</v>
      </c>
      <c r="I18" s="16">
        <f t="shared" ref="I18:I30" si="7">G18-E18</f>
        <v>6.79999999999996</v>
      </c>
      <c r="J18" s="146">
        <v>80</v>
      </c>
      <c r="K18" s="146">
        <v>72</v>
      </c>
      <c r="L18" s="178"/>
      <c r="M18" s="178"/>
      <c r="N18" s="16" t="s">
        <v>689</v>
      </c>
      <c r="O18" s="16"/>
    </row>
    <row r="19" s="6" customFormat="1" ht="24" spans="1:15">
      <c r="A19" s="179">
        <v>7</v>
      </c>
      <c r="B19" s="179" t="s">
        <v>157</v>
      </c>
      <c r="C19" s="16" t="s">
        <v>396</v>
      </c>
      <c r="D19" s="40" t="s">
        <v>690</v>
      </c>
      <c r="E19" s="24">
        <v>2014</v>
      </c>
      <c r="F19" s="40" t="s">
        <v>690</v>
      </c>
      <c r="G19" s="58">
        <v>2015</v>
      </c>
      <c r="H19" s="16" t="s">
        <v>685</v>
      </c>
      <c r="I19" s="16">
        <f t="shared" si="7"/>
        <v>1</v>
      </c>
      <c r="J19" s="146">
        <f t="shared" ref="J19:J30" si="8">K19*1.1</f>
        <v>6</v>
      </c>
      <c r="K19" s="146">
        <v>5</v>
      </c>
      <c r="L19" s="179"/>
      <c r="M19" s="179"/>
      <c r="N19" s="16" t="s">
        <v>691</v>
      </c>
      <c r="O19" s="16"/>
    </row>
    <row r="20" s="6" customFormat="1" ht="48" spans="1:15">
      <c r="A20" s="61">
        <v>5</v>
      </c>
      <c r="B20" s="61" t="s">
        <v>157</v>
      </c>
      <c r="C20" s="16" t="s">
        <v>281</v>
      </c>
      <c r="D20" s="40" t="s">
        <v>290</v>
      </c>
      <c r="E20" s="24">
        <v>7.2</v>
      </c>
      <c r="F20" s="40" t="s">
        <v>290</v>
      </c>
      <c r="G20" s="58">
        <v>7.23</v>
      </c>
      <c r="H20" s="16" t="s">
        <v>672</v>
      </c>
      <c r="I20" s="16">
        <f t="shared" si="7"/>
        <v>0.0300000000000003</v>
      </c>
      <c r="J20" s="191">
        <v>0</v>
      </c>
      <c r="K20" s="192">
        <v>0</v>
      </c>
      <c r="L20" s="61">
        <f>(I20+I21+I22+I23+I24)*20</f>
        <v>78.6</v>
      </c>
      <c r="M20" s="61">
        <f>(K20+K21+K22+K23+K24)*75%</f>
        <v>37.5</v>
      </c>
      <c r="N20" s="16" t="s">
        <v>692</v>
      </c>
      <c r="O20" s="16" t="s">
        <v>693</v>
      </c>
    </row>
    <row r="21" s="6" customFormat="1" ht="48" spans="1:15">
      <c r="A21" s="75">
        <v>9</v>
      </c>
      <c r="B21" s="75" t="s">
        <v>157</v>
      </c>
      <c r="C21" s="16" t="s">
        <v>281</v>
      </c>
      <c r="D21" s="40" t="s">
        <v>290</v>
      </c>
      <c r="E21" s="24">
        <v>9.1</v>
      </c>
      <c r="F21" s="40" t="s">
        <v>694</v>
      </c>
      <c r="G21" s="58">
        <v>10.3</v>
      </c>
      <c r="H21" s="16" t="s">
        <v>672</v>
      </c>
      <c r="I21" s="16">
        <f t="shared" si="7"/>
        <v>1.2</v>
      </c>
      <c r="J21" s="146">
        <f t="shared" si="8"/>
        <v>19</v>
      </c>
      <c r="K21" s="146">
        <v>17</v>
      </c>
      <c r="L21" s="75"/>
      <c r="M21" s="75"/>
      <c r="N21" s="16" t="s">
        <v>695</v>
      </c>
      <c r="O21" s="16" t="s">
        <v>693</v>
      </c>
    </row>
    <row r="22" s="6" customFormat="1" ht="48" spans="1:15">
      <c r="A22" s="75">
        <v>10</v>
      </c>
      <c r="B22" s="75" t="s">
        <v>157</v>
      </c>
      <c r="C22" s="16" t="s">
        <v>281</v>
      </c>
      <c r="D22" s="40" t="s">
        <v>696</v>
      </c>
      <c r="E22" s="24">
        <v>12.2</v>
      </c>
      <c r="F22" s="40" t="s">
        <v>697</v>
      </c>
      <c r="G22" s="58">
        <v>12.8</v>
      </c>
      <c r="H22" s="16" t="s">
        <v>685</v>
      </c>
      <c r="I22" s="16">
        <f t="shared" si="7"/>
        <v>0.600000000000001</v>
      </c>
      <c r="J22" s="146">
        <f t="shared" si="8"/>
        <v>3</v>
      </c>
      <c r="K22" s="146">
        <v>3</v>
      </c>
      <c r="L22" s="75"/>
      <c r="M22" s="75"/>
      <c r="N22" s="16" t="s">
        <v>698</v>
      </c>
      <c r="O22" s="16" t="s">
        <v>693</v>
      </c>
    </row>
    <row r="23" s="6" customFormat="1" ht="18" customHeight="1" spans="1:15">
      <c r="A23" s="75">
        <v>11</v>
      </c>
      <c r="B23" s="75" t="s">
        <v>157</v>
      </c>
      <c r="C23" s="16" t="s">
        <v>281</v>
      </c>
      <c r="D23" s="40" t="s">
        <v>699</v>
      </c>
      <c r="E23" s="24">
        <v>13.2</v>
      </c>
      <c r="F23" s="40" t="s">
        <v>700</v>
      </c>
      <c r="G23" s="58">
        <v>14.2</v>
      </c>
      <c r="H23" s="16" t="s">
        <v>672</v>
      </c>
      <c r="I23" s="16">
        <f t="shared" si="7"/>
        <v>1</v>
      </c>
      <c r="J23" s="146">
        <f t="shared" si="8"/>
        <v>6</v>
      </c>
      <c r="K23" s="146">
        <v>5</v>
      </c>
      <c r="L23" s="75"/>
      <c r="M23" s="75"/>
      <c r="N23" s="16" t="s">
        <v>701</v>
      </c>
      <c r="O23" s="16"/>
    </row>
    <row r="24" s="6" customFormat="1" ht="20" customHeight="1" spans="1:15">
      <c r="A24" s="41">
        <v>12</v>
      </c>
      <c r="B24" s="41" t="s">
        <v>157</v>
      </c>
      <c r="C24" s="16" t="s">
        <v>281</v>
      </c>
      <c r="D24" s="40" t="s">
        <v>700</v>
      </c>
      <c r="E24" s="24">
        <v>14.8</v>
      </c>
      <c r="F24" s="40" t="s">
        <v>305</v>
      </c>
      <c r="G24" s="58">
        <v>15.9</v>
      </c>
      <c r="H24" s="16" t="s">
        <v>672</v>
      </c>
      <c r="I24" s="16">
        <f t="shared" si="7"/>
        <v>1.1</v>
      </c>
      <c r="J24" s="146">
        <f t="shared" si="8"/>
        <v>28</v>
      </c>
      <c r="K24" s="146">
        <v>25</v>
      </c>
      <c r="L24" s="41"/>
      <c r="M24" s="41"/>
      <c r="N24" s="16" t="s">
        <v>702</v>
      </c>
      <c r="O24" s="16"/>
    </row>
    <row r="25" s="6" customFormat="1" ht="48" spans="1:15">
      <c r="A25" s="177">
        <v>6</v>
      </c>
      <c r="B25" s="177" t="s">
        <v>157</v>
      </c>
      <c r="C25" s="16" t="s">
        <v>98</v>
      </c>
      <c r="D25" s="40" t="s">
        <v>703</v>
      </c>
      <c r="E25" s="29">
        <v>755.8</v>
      </c>
      <c r="F25" s="40" t="s">
        <v>703</v>
      </c>
      <c r="G25" s="58">
        <v>757.8</v>
      </c>
      <c r="H25" s="16" t="s">
        <v>685</v>
      </c>
      <c r="I25" s="16">
        <f t="shared" si="7"/>
        <v>2</v>
      </c>
      <c r="J25" s="146">
        <f t="shared" si="8"/>
        <v>10</v>
      </c>
      <c r="K25" s="146">
        <v>9</v>
      </c>
      <c r="L25" s="177">
        <f>(I25+I26+I27+I28+I29+I30)*20</f>
        <v>148</v>
      </c>
      <c r="M25" s="177">
        <f>(K25+K26+K27+K28+K29+K30)*75%</f>
        <v>31</v>
      </c>
      <c r="N25" s="16" t="s">
        <v>704</v>
      </c>
      <c r="O25" s="16" t="s">
        <v>693</v>
      </c>
    </row>
    <row r="26" s="6" customFormat="1" ht="15" customHeight="1" spans="1:15">
      <c r="A26" s="178">
        <v>14</v>
      </c>
      <c r="B26" s="178" t="s">
        <v>157</v>
      </c>
      <c r="C26" s="16" t="s">
        <v>98</v>
      </c>
      <c r="D26" s="40" t="s">
        <v>703</v>
      </c>
      <c r="E26" s="29">
        <v>759.1</v>
      </c>
      <c r="F26" s="40" t="s">
        <v>705</v>
      </c>
      <c r="G26" s="58">
        <v>760.4</v>
      </c>
      <c r="H26" s="16" t="s">
        <v>672</v>
      </c>
      <c r="I26" s="16">
        <f t="shared" si="7"/>
        <v>1.29999999999995</v>
      </c>
      <c r="J26" s="146">
        <f t="shared" si="8"/>
        <v>8</v>
      </c>
      <c r="K26" s="146">
        <v>7</v>
      </c>
      <c r="L26" s="178"/>
      <c r="M26" s="178"/>
      <c r="N26" s="16" t="s">
        <v>706</v>
      </c>
      <c r="O26" s="16"/>
    </row>
    <row r="27" s="6" customFormat="1" ht="15" customHeight="1" spans="1:15">
      <c r="A27" s="178">
        <v>15</v>
      </c>
      <c r="B27" s="178" t="s">
        <v>157</v>
      </c>
      <c r="C27" s="16" t="s">
        <v>98</v>
      </c>
      <c r="D27" s="40" t="s">
        <v>705</v>
      </c>
      <c r="E27" s="29">
        <v>761</v>
      </c>
      <c r="F27" s="40" t="s">
        <v>707</v>
      </c>
      <c r="G27" s="58">
        <v>762</v>
      </c>
      <c r="H27" s="16" t="s">
        <v>672</v>
      </c>
      <c r="I27" s="16">
        <f t="shared" si="7"/>
        <v>1</v>
      </c>
      <c r="J27" s="146">
        <f t="shared" si="8"/>
        <v>9</v>
      </c>
      <c r="K27" s="146">
        <v>8</v>
      </c>
      <c r="L27" s="178"/>
      <c r="M27" s="178"/>
      <c r="N27" s="16" t="s">
        <v>708</v>
      </c>
      <c r="O27" s="16"/>
    </row>
    <row r="28" s="6" customFormat="1" ht="15" customHeight="1" spans="1:15">
      <c r="A28" s="178">
        <v>16</v>
      </c>
      <c r="B28" s="178" t="s">
        <v>157</v>
      </c>
      <c r="C28" s="16" t="s">
        <v>98</v>
      </c>
      <c r="D28" s="40" t="s">
        <v>707</v>
      </c>
      <c r="E28" s="29">
        <v>762.2</v>
      </c>
      <c r="F28" s="40" t="s">
        <v>709</v>
      </c>
      <c r="G28" s="58">
        <v>763.3</v>
      </c>
      <c r="H28" s="16" t="s">
        <v>672</v>
      </c>
      <c r="I28" s="16">
        <f t="shared" si="7"/>
        <v>1.09999999999991</v>
      </c>
      <c r="J28" s="146">
        <f t="shared" si="8"/>
        <v>10</v>
      </c>
      <c r="K28" s="146">
        <v>9</v>
      </c>
      <c r="L28" s="178"/>
      <c r="M28" s="178"/>
      <c r="N28" s="16" t="s">
        <v>710</v>
      </c>
      <c r="O28" s="16"/>
    </row>
    <row r="29" s="6" customFormat="1" ht="15" customHeight="1" spans="1:15">
      <c r="A29" s="178">
        <v>17</v>
      </c>
      <c r="B29" s="178" t="s">
        <v>157</v>
      </c>
      <c r="C29" s="16" t="s">
        <v>98</v>
      </c>
      <c r="D29" s="40" t="s">
        <v>711</v>
      </c>
      <c r="E29" s="24">
        <v>764</v>
      </c>
      <c r="F29" s="40" t="s">
        <v>711</v>
      </c>
      <c r="G29" s="58">
        <v>765</v>
      </c>
      <c r="H29" s="16" t="s">
        <v>672</v>
      </c>
      <c r="I29" s="16">
        <f t="shared" si="7"/>
        <v>1</v>
      </c>
      <c r="J29" s="146">
        <f t="shared" si="8"/>
        <v>6</v>
      </c>
      <c r="K29" s="146">
        <v>5</v>
      </c>
      <c r="L29" s="178"/>
      <c r="M29" s="178"/>
      <c r="N29" s="16" t="s">
        <v>712</v>
      </c>
      <c r="O29" s="16"/>
    </row>
    <row r="30" s="6" customFormat="1" ht="15" customHeight="1" spans="1:15">
      <c r="A30" s="179">
        <v>18</v>
      </c>
      <c r="B30" s="179" t="s">
        <v>157</v>
      </c>
      <c r="C30" s="16" t="s">
        <v>98</v>
      </c>
      <c r="D30" s="40" t="s">
        <v>713</v>
      </c>
      <c r="E30" s="24">
        <v>766</v>
      </c>
      <c r="F30" s="40" t="s">
        <v>713</v>
      </c>
      <c r="G30" s="58">
        <v>767</v>
      </c>
      <c r="H30" s="16" t="s">
        <v>672</v>
      </c>
      <c r="I30" s="16">
        <f t="shared" si="7"/>
        <v>1</v>
      </c>
      <c r="J30" s="146">
        <f t="shared" si="8"/>
        <v>3</v>
      </c>
      <c r="K30" s="146">
        <v>3</v>
      </c>
      <c r="L30" s="179"/>
      <c r="M30" s="179"/>
      <c r="N30" s="16" t="s">
        <v>714</v>
      </c>
      <c r="O30" s="16"/>
    </row>
    <row r="31" s="6" customFormat="1" ht="33" customHeight="1" spans="1:15">
      <c r="A31" s="12" t="s">
        <v>200</v>
      </c>
      <c r="B31" s="13"/>
      <c r="C31" s="13"/>
      <c r="D31" s="13"/>
      <c r="E31" s="13"/>
      <c r="F31" s="13"/>
      <c r="G31" s="13"/>
      <c r="H31" s="14"/>
      <c r="I31" s="69">
        <f t="shared" ref="I31:K31" si="9">SUM(I32:I33)</f>
        <v>2.15999999999999</v>
      </c>
      <c r="J31" s="190">
        <f t="shared" si="9"/>
        <v>244</v>
      </c>
      <c r="K31" s="190">
        <f t="shared" si="9"/>
        <v>217</v>
      </c>
      <c r="L31" s="38">
        <f>L34</f>
        <v>24</v>
      </c>
      <c r="M31" s="38"/>
      <c r="N31" s="22"/>
      <c r="O31" s="16"/>
    </row>
    <row r="32" s="6" customFormat="1" ht="18" customHeight="1" spans="1:15">
      <c r="A32" s="20">
        <v>7</v>
      </c>
      <c r="B32" s="20" t="s">
        <v>200</v>
      </c>
      <c r="C32" s="20" t="s">
        <v>281</v>
      </c>
      <c r="D32" s="16" t="s">
        <v>715</v>
      </c>
      <c r="E32" s="58">
        <v>97.968</v>
      </c>
      <c r="F32" s="16" t="s">
        <v>715</v>
      </c>
      <c r="G32" s="58">
        <v>99.418</v>
      </c>
      <c r="H32" s="16" t="s">
        <v>716</v>
      </c>
      <c r="I32" s="16">
        <f t="shared" ref="I32:I34" si="10">G32-E32</f>
        <v>1.45</v>
      </c>
      <c r="J32" s="177">
        <v>244</v>
      </c>
      <c r="K32" s="177">
        <v>217</v>
      </c>
      <c r="L32" s="177">
        <f>(I32+I33)*20</f>
        <v>43</v>
      </c>
      <c r="M32" s="177">
        <f>(K32*75%)</f>
        <v>163</v>
      </c>
      <c r="N32" s="16" t="s">
        <v>717</v>
      </c>
      <c r="O32" s="20" t="s">
        <v>718</v>
      </c>
    </row>
    <row r="33" s="6" customFormat="1" ht="18" customHeight="1" spans="1:15">
      <c r="A33" s="23"/>
      <c r="B33" s="23" t="s">
        <v>200</v>
      </c>
      <c r="C33" s="23" t="s">
        <v>281</v>
      </c>
      <c r="D33" s="180" t="s">
        <v>719</v>
      </c>
      <c r="E33" s="62">
        <v>92.042</v>
      </c>
      <c r="F33" s="180" t="s">
        <v>719</v>
      </c>
      <c r="G33" s="62">
        <v>92.752</v>
      </c>
      <c r="H33" s="20" t="s">
        <v>685</v>
      </c>
      <c r="I33" s="16">
        <f t="shared" si="10"/>
        <v>0.709999999999994</v>
      </c>
      <c r="J33" s="179"/>
      <c r="K33" s="179"/>
      <c r="L33" s="179"/>
      <c r="M33" s="179"/>
      <c r="N33" s="16" t="s">
        <v>720</v>
      </c>
      <c r="O33" s="23"/>
    </row>
    <row r="34" s="6" customFormat="1" ht="18" customHeight="1" spans="1:15">
      <c r="A34" s="22"/>
      <c r="B34" s="22" t="s">
        <v>200</v>
      </c>
      <c r="C34" s="22" t="s">
        <v>281</v>
      </c>
      <c r="D34" s="181" t="s">
        <v>721</v>
      </c>
      <c r="E34" s="58">
        <v>83.44</v>
      </c>
      <c r="F34" s="181" t="s">
        <v>721</v>
      </c>
      <c r="G34" s="58">
        <v>83.94</v>
      </c>
      <c r="H34" s="16" t="s">
        <v>685</v>
      </c>
      <c r="I34" s="16">
        <f t="shared" si="10"/>
        <v>0.5</v>
      </c>
      <c r="J34" s="146">
        <v>76</v>
      </c>
      <c r="K34" s="146">
        <v>65</v>
      </c>
      <c r="L34" s="177">
        <f>(I34+I33)*20</f>
        <v>24</v>
      </c>
      <c r="M34" s="177">
        <f>K34*75%</f>
        <v>49</v>
      </c>
      <c r="N34" s="16" t="s">
        <v>722</v>
      </c>
      <c r="O34" s="22"/>
    </row>
    <row r="35" s="6" customFormat="1" ht="30" customHeight="1" spans="1:15">
      <c r="A35" s="12" t="s">
        <v>428</v>
      </c>
      <c r="B35" s="13"/>
      <c r="C35" s="13"/>
      <c r="D35" s="13"/>
      <c r="E35" s="13"/>
      <c r="F35" s="13"/>
      <c r="G35" s="13"/>
      <c r="H35" s="14"/>
      <c r="I35" s="69">
        <f t="shared" ref="I35:K35" si="11">SUM(I36:I45)</f>
        <v>30.911</v>
      </c>
      <c r="J35" s="190">
        <f t="shared" si="11"/>
        <v>360</v>
      </c>
      <c r="K35" s="190">
        <f t="shared" si="11"/>
        <v>299</v>
      </c>
      <c r="L35" s="69"/>
      <c r="M35" s="69">
        <f>M36+M41</f>
        <v>224</v>
      </c>
      <c r="N35" s="16"/>
      <c r="O35" s="16"/>
    </row>
    <row r="36" s="6" customFormat="1" ht="24" spans="1:15">
      <c r="A36" s="177">
        <v>8</v>
      </c>
      <c r="B36" s="177" t="s">
        <v>428</v>
      </c>
      <c r="C36" s="16" t="s">
        <v>281</v>
      </c>
      <c r="D36" s="16" t="s">
        <v>723</v>
      </c>
      <c r="E36" s="58">
        <v>168.435</v>
      </c>
      <c r="F36" s="40" t="s">
        <v>724</v>
      </c>
      <c r="G36" s="58">
        <v>172</v>
      </c>
      <c r="H36" s="16" t="s">
        <v>725</v>
      </c>
      <c r="I36" s="40">
        <v>3.565</v>
      </c>
      <c r="J36" s="146">
        <f t="shared" ref="J36:J45" si="12">K36*1.2</f>
        <v>10</v>
      </c>
      <c r="K36" s="146">
        <v>8</v>
      </c>
      <c r="L36" s="177">
        <f>(I36+I37+I38+I39+I40)*20</f>
        <v>232</v>
      </c>
      <c r="M36" s="177">
        <f>(K36+K37+K38+K39+K40)*75%</f>
        <v>74</v>
      </c>
      <c r="N36" s="16" t="s">
        <v>726</v>
      </c>
      <c r="O36" s="16"/>
    </row>
    <row r="37" s="6" customFormat="1" ht="24" spans="1:15">
      <c r="A37" s="178">
        <v>2</v>
      </c>
      <c r="B37" s="178" t="s">
        <v>428</v>
      </c>
      <c r="C37" s="16" t="s">
        <v>281</v>
      </c>
      <c r="D37" s="16" t="s">
        <v>724</v>
      </c>
      <c r="E37" s="58">
        <v>172</v>
      </c>
      <c r="F37" s="40" t="s">
        <v>727</v>
      </c>
      <c r="G37" s="58">
        <v>174.55</v>
      </c>
      <c r="H37" s="16" t="s">
        <v>725</v>
      </c>
      <c r="I37" s="40">
        <v>2.55</v>
      </c>
      <c r="J37" s="146">
        <f t="shared" si="12"/>
        <v>5</v>
      </c>
      <c r="K37" s="146">
        <v>4</v>
      </c>
      <c r="L37" s="178"/>
      <c r="M37" s="178"/>
      <c r="N37" s="16" t="s">
        <v>728</v>
      </c>
      <c r="O37" s="16"/>
    </row>
    <row r="38" s="6" customFormat="1" ht="24" spans="1:15">
      <c r="A38" s="178">
        <v>3</v>
      </c>
      <c r="B38" s="178" t="s">
        <v>428</v>
      </c>
      <c r="C38" s="16" t="s">
        <v>281</v>
      </c>
      <c r="D38" s="16" t="s">
        <v>727</v>
      </c>
      <c r="E38" s="58">
        <v>174.55</v>
      </c>
      <c r="F38" s="40" t="s">
        <v>729</v>
      </c>
      <c r="G38" s="58">
        <v>175.8</v>
      </c>
      <c r="H38" s="16" t="s">
        <v>685</v>
      </c>
      <c r="I38" s="40">
        <v>1.25</v>
      </c>
      <c r="J38" s="146">
        <f t="shared" si="12"/>
        <v>13</v>
      </c>
      <c r="K38" s="146">
        <v>11</v>
      </c>
      <c r="L38" s="178"/>
      <c r="M38" s="178"/>
      <c r="N38" s="16" t="s">
        <v>730</v>
      </c>
      <c r="O38" s="16"/>
    </row>
    <row r="39" s="6" customFormat="1" ht="24" spans="1:15">
      <c r="A39" s="178">
        <v>4</v>
      </c>
      <c r="B39" s="178" t="s">
        <v>428</v>
      </c>
      <c r="C39" s="16" t="s">
        <v>281</v>
      </c>
      <c r="D39" s="16" t="s">
        <v>729</v>
      </c>
      <c r="E39" s="58">
        <v>175.8</v>
      </c>
      <c r="F39" s="40" t="s">
        <v>731</v>
      </c>
      <c r="G39" s="58">
        <v>177.65</v>
      </c>
      <c r="H39" s="16" t="s">
        <v>732</v>
      </c>
      <c r="I39" s="40">
        <v>1.85</v>
      </c>
      <c r="J39" s="146">
        <f t="shared" si="12"/>
        <v>61</v>
      </c>
      <c r="K39" s="146">
        <v>51</v>
      </c>
      <c r="L39" s="178"/>
      <c r="M39" s="178"/>
      <c r="N39" s="16" t="s">
        <v>730</v>
      </c>
      <c r="O39" s="16"/>
    </row>
    <row r="40" s="6" customFormat="1" ht="24" spans="1:15">
      <c r="A40" s="179">
        <v>5</v>
      </c>
      <c r="B40" s="179" t="s">
        <v>428</v>
      </c>
      <c r="C40" s="16" t="s">
        <v>281</v>
      </c>
      <c r="D40" s="16" t="s">
        <v>731</v>
      </c>
      <c r="E40" s="58">
        <v>177.65</v>
      </c>
      <c r="F40" s="40" t="s">
        <v>733</v>
      </c>
      <c r="G40" s="58">
        <v>180.035</v>
      </c>
      <c r="H40" s="16" t="s">
        <v>725</v>
      </c>
      <c r="I40" s="40">
        <v>2.385</v>
      </c>
      <c r="J40" s="146">
        <f t="shared" si="12"/>
        <v>30</v>
      </c>
      <c r="K40" s="146">
        <v>25</v>
      </c>
      <c r="L40" s="179"/>
      <c r="M40" s="179"/>
      <c r="N40" s="16" t="s">
        <v>734</v>
      </c>
      <c r="O40" s="16"/>
    </row>
    <row r="41" s="6" customFormat="1" ht="24" spans="1:15">
      <c r="A41" s="177">
        <v>9</v>
      </c>
      <c r="B41" s="177" t="s">
        <v>428</v>
      </c>
      <c r="C41" s="16" t="s">
        <v>163</v>
      </c>
      <c r="D41" s="16" t="s">
        <v>735</v>
      </c>
      <c r="E41" s="58">
        <v>2156.525</v>
      </c>
      <c r="F41" s="40" t="s">
        <v>736</v>
      </c>
      <c r="G41" s="58">
        <v>2160.122</v>
      </c>
      <c r="H41" s="16" t="s">
        <v>725</v>
      </c>
      <c r="I41" s="40">
        <v>3.597</v>
      </c>
      <c r="J41" s="146">
        <f t="shared" si="12"/>
        <v>53</v>
      </c>
      <c r="K41" s="146">
        <v>44</v>
      </c>
      <c r="L41" s="177">
        <f>(I41+I42+I43+I44+I45)*20</f>
        <v>386</v>
      </c>
      <c r="M41" s="177">
        <f>(K41+K42+K43+K44+K45)*75%</f>
        <v>150</v>
      </c>
      <c r="N41" s="16" t="s">
        <v>737</v>
      </c>
      <c r="O41" s="16"/>
    </row>
    <row r="42" s="6" customFormat="1" ht="24" spans="1:15">
      <c r="A42" s="178">
        <v>7</v>
      </c>
      <c r="B42" s="178" t="s">
        <v>428</v>
      </c>
      <c r="C42" s="16" t="s">
        <v>163</v>
      </c>
      <c r="D42" s="16" t="s">
        <v>736</v>
      </c>
      <c r="E42" s="58">
        <v>2160.122</v>
      </c>
      <c r="F42" s="40" t="s">
        <v>738</v>
      </c>
      <c r="G42" s="58">
        <v>2163.521</v>
      </c>
      <c r="H42" s="16" t="s">
        <v>725</v>
      </c>
      <c r="I42" s="40">
        <v>3.399</v>
      </c>
      <c r="J42" s="146">
        <f t="shared" si="12"/>
        <v>59</v>
      </c>
      <c r="K42" s="146">
        <v>49</v>
      </c>
      <c r="L42" s="178"/>
      <c r="M42" s="178"/>
      <c r="N42" s="16" t="s">
        <v>739</v>
      </c>
      <c r="O42" s="16"/>
    </row>
    <row r="43" s="6" customFormat="1" ht="24" spans="1:15">
      <c r="A43" s="178">
        <v>8</v>
      </c>
      <c r="B43" s="178" t="s">
        <v>428</v>
      </c>
      <c r="C43" s="16" t="s">
        <v>163</v>
      </c>
      <c r="D43" s="16" t="s">
        <v>738</v>
      </c>
      <c r="E43" s="58">
        <v>2163.521</v>
      </c>
      <c r="F43" s="40" t="s">
        <v>740</v>
      </c>
      <c r="G43" s="58">
        <v>2167.8</v>
      </c>
      <c r="H43" s="16" t="s">
        <v>725</v>
      </c>
      <c r="I43" s="40">
        <v>4.279</v>
      </c>
      <c r="J43" s="146">
        <f t="shared" si="12"/>
        <v>22</v>
      </c>
      <c r="K43" s="146">
        <v>18</v>
      </c>
      <c r="L43" s="178"/>
      <c r="M43" s="178"/>
      <c r="N43" s="16" t="s">
        <v>741</v>
      </c>
      <c r="O43" s="16"/>
    </row>
    <row r="44" s="6" customFormat="1" ht="12" spans="1:15">
      <c r="A44" s="178">
        <v>9</v>
      </c>
      <c r="B44" s="178" t="s">
        <v>428</v>
      </c>
      <c r="C44" s="16" t="s">
        <v>163</v>
      </c>
      <c r="D44" s="16" t="s">
        <v>740</v>
      </c>
      <c r="E44" s="58">
        <v>2167.8</v>
      </c>
      <c r="F44" s="40" t="s">
        <v>742</v>
      </c>
      <c r="G44" s="58">
        <v>2171.65</v>
      </c>
      <c r="H44" s="16" t="s">
        <v>685</v>
      </c>
      <c r="I44" s="40">
        <v>3.85</v>
      </c>
      <c r="J44" s="146">
        <f t="shared" si="12"/>
        <v>73</v>
      </c>
      <c r="K44" s="146">
        <v>61</v>
      </c>
      <c r="L44" s="178"/>
      <c r="M44" s="178"/>
      <c r="N44" s="16" t="s">
        <v>743</v>
      </c>
      <c r="O44" s="16"/>
    </row>
    <row r="45" s="6" customFormat="1" ht="24" spans="1:15">
      <c r="A45" s="179">
        <v>10</v>
      </c>
      <c r="B45" s="179" t="s">
        <v>428</v>
      </c>
      <c r="C45" s="16" t="s">
        <v>163</v>
      </c>
      <c r="D45" s="16" t="s">
        <v>742</v>
      </c>
      <c r="E45" s="58">
        <v>2171.65</v>
      </c>
      <c r="F45" s="40" t="s">
        <v>744</v>
      </c>
      <c r="G45" s="58">
        <v>2175.836</v>
      </c>
      <c r="H45" s="16" t="s">
        <v>725</v>
      </c>
      <c r="I45" s="40">
        <v>4.186</v>
      </c>
      <c r="J45" s="146">
        <f t="shared" si="12"/>
        <v>34</v>
      </c>
      <c r="K45" s="146">
        <v>28</v>
      </c>
      <c r="L45" s="179"/>
      <c r="M45" s="179"/>
      <c r="N45" s="16" t="s">
        <v>745</v>
      </c>
      <c r="O45" s="16"/>
    </row>
    <row r="46" s="6" customFormat="1" ht="30" customHeight="1" spans="1:15">
      <c r="A46" s="12" t="s">
        <v>238</v>
      </c>
      <c r="B46" s="13"/>
      <c r="C46" s="13"/>
      <c r="D46" s="13"/>
      <c r="E46" s="13"/>
      <c r="F46" s="13"/>
      <c r="G46" s="13"/>
      <c r="H46" s="14"/>
      <c r="I46" s="69">
        <f>SUM(I47:I91)</f>
        <v>5.1819999999999</v>
      </c>
      <c r="J46" s="193">
        <f>J47+J72+J74+J82</f>
        <v>313</v>
      </c>
      <c r="K46" s="193">
        <f>K47+K72+K74+K82</f>
        <v>278</v>
      </c>
      <c r="L46" s="194">
        <f>L47</f>
        <v>104</v>
      </c>
      <c r="M46" s="194"/>
      <c r="N46" s="22"/>
      <c r="O46" s="16"/>
    </row>
    <row r="47" s="6" customFormat="1" ht="18" customHeight="1" spans="1:15">
      <c r="A47" s="177">
        <v>10</v>
      </c>
      <c r="B47" s="177" t="s">
        <v>238</v>
      </c>
      <c r="C47" s="16" t="s">
        <v>415</v>
      </c>
      <c r="D47" s="16" t="s">
        <v>746</v>
      </c>
      <c r="E47" s="58">
        <v>625.044</v>
      </c>
      <c r="F47" s="16" t="s">
        <v>747</v>
      </c>
      <c r="G47" s="58">
        <v>625.072</v>
      </c>
      <c r="H47" s="16" t="s">
        <v>748</v>
      </c>
      <c r="I47" s="40">
        <f t="shared" ref="I47:I91" si="13">G47-E47</f>
        <v>0.02800000000002</v>
      </c>
      <c r="J47" s="177">
        <f>K47*1.125</f>
        <v>123</v>
      </c>
      <c r="K47" s="177">
        <f>2018*540/10000</f>
        <v>109</v>
      </c>
      <c r="L47" s="178">
        <f>(I47+I48+I49+I50+I51+I52+I53+I54+I55+I56+I57+I58+I59+I60+I61+I62+I63+I64+I65+I66+I67+I68+I69+I70+I71+I72+I73+I74+I75+I76+I77+I78+I79+I80+I81+I82+I83+I84+I85+I86+I87+I88+I89+I90+I91)*20</f>
        <v>104</v>
      </c>
      <c r="M47" s="178">
        <f>K46*75%</f>
        <v>209</v>
      </c>
      <c r="N47" s="22" t="s">
        <v>749</v>
      </c>
      <c r="O47" s="16"/>
    </row>
    <row r="48" s="6" customFormat="1" ht="18" customHeight="1" spans="1:15">
      <c r="A48" s="178"/>
      <c r="B48" s="178"/>
      <c r="C48" s="16" t="s">
        <v>415</v>
      </c>
      <c r="D48" s="16" t="s">
        <v>746</v>
      </c>
      <c r="E48" s="58">
        <v>625.492</v>
      </c>
      <c r="F48" s="16" t="s">
        <v>746</v>
      </c>
      <c r="G48" s="58">
        <v>625.534</v>
      </c>
      <c r="H48" s="16" t="s">
        <v>748</v>
      </c>
      <c r="I48" s="40">
        <f t="shared" si="13"/>
        <v>0.04200000000003</v>
      </c>
      <c r="J48" s="178"/>
      <c r="K48" s="178"/>
      <c r="L48" s="178"/>
      <c r="M48" s="178"/>
      <c r="N48" s="22" t="s">
        <v>749</v>
      </c>
      <c r="O48" s="16"/>
    </row>
    <row r="49" s="6" customFormat="1" ht="18" customHeight="1" spans="1:15">
      <c r="A49" s="178"/>
      <c r="B49" s="178"/>
      <c r="C49" s="16" t="s">
        <v>415</v>
      </c>
      <c r="D49" s="16" t="s">
        <v>746</v>
      </c>
      <c r="E49" s="58">
        <v>625.537</v>
      </c>
      <c r="F49" s="16" t="s">
        <v>746</v>
      </c>
      <c r="G49" s="58">
        <v>625.565</v>
      </c>
      <c r="H49" s="16" t="s">
        <v>748</v>
      </c>
      <c r="I49" s="40">
        <f t="shared" si="13"/>
        <v>0.02800000000002</v>
      </c>
      <c r="J49" s="178"/>
      <c r="K49" s="178"/>
      <c r="L49" s="178"/>
      <c r="M49" s="178"/>
      <c r="N49" s="22" t="s">
        <v>749</v>
      </c>
      <c r="O49" s="16"/>
    </row>
    <row r="50" s="6" customFormat="1" ht="18" customHeight="1" spans="1:15">
      <c r="A50" s="178"/>
      <c r="B50" s="178"/>
      <c r="C50" s="16" t="s">
        <v>415</v>
      </c>
      <c r="D50" s="16" t="s">
        <v>746</v>
      </c>
      <c r="E50" s="58">
        <v>625.603</v>
      </c>
      <c r="F50" s="16" t="s">
        <v>746</v>
      </c>
      <c r="G50" s="58">
        <v>625.647</v>
      </c>
      <c r="H50" s="16" t="s">
        <v>748</v>
      </c>
      <c r="I50" s="40">
        <f t="shared" si="13"/>
        <v>0.0440000000000964</v>
      </c>
      <c r="J50" s="178"/>
      <c r="K50" s="178"/>
      <c r="L50" s="178"/>
      <c r="M50" s="178"/>
      <c r="N50" s="22" t="s">
        <v>749</v>
      </c>
      <c r="O50" s="16"/>
    </row>
    <row r="51" s="6" customFormat="1" ht="18" customHeight="1" spans="1:15">
      <c r="A51" s="178"/>
      <c r="B51" s="178"/>
      <c r="C51" s="16" t="s">
        <v>415</v>
      </c>
      <c r="D51" s="16" t="s">
        <v>746</v>
      </c>
      <c r="E51" s="58">
        <v>625.883</v>
      </c>
      <c r="F51" s="16" t="s">
        <v>746</v>
      </c>
      <c r="G51" s="58">
        <v>625.991</v>
      </c>
      <c r="H51" s="16" t="s">
        <v>748</v>
      </c>
      <c r="I51" s="40">
        <f t="shared" si="13"/>
        <v>0.107999999999947</v>
      </c>
      <c r="J51" s="178"/>
      <c r="K51" s="178"/>
      <c r="L51" s="178"/>
      <c r="M51" s="178"/>
      <c r="N51" s="22" t="s">
        <v>749</v>
      </c>
      <c r="O51" s="16"/>
    </row>
    <row r="52" s="6" customFormat="1" ht="18" customHeight="1" spans="1:15">
      <c r="A52" s="178"/>
      <c r="B52" s="178"/>
      <c r="C52" s="16" t="s">
        <v>415</v>
      </c>
      <c r="D52" s="16" t="s">
        <v>746</v>
      </c>
      <c r="E52" s="58">
        <v>626.284</v>
      </c>
      <c r="F52" s="16" t="s">
        <v>746</v>
      </c>
      <c r="G52" s="58">
        <v>626.56</v>
      </c>
      <c r="H52" s="16" t="s">
        <v>748</v>
      </c>
      <c r="I52" s="40">
        <f t="shared" si="13"/>
        <v>0.275999999999954</v>
      </c>
      <c r="J52" s="178"/>
      <c r="K52" s="178"/>
      <c r="L52" s="178"/>
      <c r="M52" s="178"/>
      <c r="N52" s="22" t="s">
        <v>749</v>
      </c>
      <c r="O52" s="16"/>
    </row>
    <row r="53" s="6" customFormat="1" ht="18" customHeight="1" spans="1:15">
      <c r="A53" s="178"/>
      <c r="B53" s="178"/>
      <c r="C53" s="16" t="s">
        <v>415</v>
      </c>
      <c r="D53" s="16" t="s">
        <v>746</v>
      </c>
      <c r="E53" s="58">
        <v>626.653</v>
      </c>
      <c r="F53" s="16" t="s">
        <v>746</v>
      </c>
      <c r="G53" s="58">
        <v>626.705</v>
      </c>
      <c r="H53" s="16" t="s">
        <v>748</v>
      </c>
      <c r="I53" s="40">
        <f t="shared" si="13"/>
        <v>0.0520000000000209</v>
      </c>
      <c r="J53" s="178"/>
      <c r="K53" s="178"/>
      <c r="L53" s="178"/>
      <c r="M53" s="178"/>
      <c r="N53" s="22" t="s">
        <v>749</v>
      </c>
      <c r="O53" s="16"/>
    </row>
    <row r="54" s="6" customFormat="1" ht="18" customHeight="1" spans="1:15">
      <c r="A54" s="178"/>
      <c r="B54" s="178"/>
      <c r="C54" s="16" t="s">
        <v>415</v>
      </c>
      <c r="D54" s="16" t="s">
        <v>746</v>
      </c>
      <c r="E54" s="58">
        <v>626.884</v>
      </c>
      <c r="F54" s="16" t="s">
        <v>746</v>
      </c>
      <c r="G54" s="58">
        <v>626.976</v>
      </c>
      <c r="H54" s="16" t="s">
        <v>748</v>
      </c>
      <c r="I54" s="40">
        <f t="shared" si="13"/>
        <v>0.0919999999999845</v>
      </c>
      <c r="J54" s="178"/>
      <c r="K54" s="178"/>
      <c r="L54" s="178"/>
      <c r="M54" s="178"/>
      <c r="N54" s="22" t="s">
        <v>749</v>
      </c>
      <c r="O54" s="16"/>
    </row>
    <row r="55" s="6" customFormat="1" ht="18" customHeight="1" spans="1:15">
      <c r="A55" s="178"/>
      <c r="B55" s="178"/>
      <c r="C55" s="16" t="s">
        <v>415</v>
      </c>
      <c r="D55" s="16" t="s">
        <v>746</v>
      </c>
      <c r="E55" s="58">
        <v>626.979</v>
      </c>
      <c r="F55" s="16" t="s">
        <v>746</v>
      </c>
      <c r="G55" s="58">
        <v>627.043</v>
      </c>
      <c r="H55" s="16" t="s">
        <v>748</v>
      </c>
      <c r="I55" s="40">
        <f t="shared" si="13"/>
        <v>0.0639999999999645</v>
      </c>
      <c r="J55" s="178"/>
      <c r="K55" s="178"/>
      <c r="L55" s="178"/>
      <c r="M55" s="178"/>
      <c r="N55" s="22" t="s">
        <v>749</v>
      </c>
      <c r="O55" s="16"/>
    </row>
    <row r="56" s="6" customFormat="1" ht="18" customHeight="1" spans="1:15">
      <c r="A56" s="178"/>
      <c r="B56" s="178"/>
      <c r="C56" s="16" t="s">
        <v>415</v>
      </c>
      <c r="D56" s="16" t="s">
        <v>746</v>
      </c>
      <c r="E56" s="58">
        <v>627.256</v>
      </c>
      <c r="F56" s="16" t="s">
        <v>746</v>
      </c>
      <c r="G56" s="58">
        <v>627.3</v>
      </c>
      <c r="H56" s="16" t="s">
        <v>748</v>
      </c>
      <c r="I56" s="40">
        <f t="shared" si="13"/>
        <v>0.0439999999999827</v>
      </c>
      <c r="J56" s="178"/>
      <c r="K56" s="178"/>
      <c r="L56" s="178"/>
      <c r="M56" s="178"/>
      <c r="N56" s="22" t="s">
        <v>749</v>
      </c>
      <c r="O56" s="16"/>
    </row>
    <row r="57" s="6" customFormat="1" ht="18" customHeight="1" spans="1:15">
      <c r="A57" s="178"/>
      <c r="B57" s="178"/>
      <c r="C57" s="16" t="s">
        <v>415</v>
      </c>
      <c r="D57" s="16" t="s">
        <v>746</v>
      </c>
      <c r="E57" s="58">
        <v>627.397</v>
      </c>
      <c r="F57" s="16" t="s">
        <v>746</v>
      </c>
      <c r="G57" s="58">
        <v>627.489</v>
      </c>
      <c r="H57" s="16" t="s">
        <v>748</v>
      </c>
      <c r="I57" s="40">
        <f t="shared" si="13"/>
        <v>0.0919999999999845</v>
      </c>
      <c r="J57" s="178"/>
      <c r="K57" s="178"/>
      <c r="L57" s="178"/>
      <c r="M57" s="178"/>
      <c r="N57" s="22" t="s">
        <v>749</v>
      </c>
      <c r="O57" s="16"/>
    </row>
    <row r="58" s="6" customFormat="1" ht="18" customHeight="1" spans="1:15">
      <c r="A58" s="178"/>
      <c r="B58" s="178"/>
      <c r="C58" s="16" t="s">
        <v>415</v>
      </c>
      <c r="D58" s="16" t="s">
        <v>746</v>
      </c>
      <c r="E58" s="58">
        <v>627.505</v>
      </c>
      <c r="F58" s="16" t="s">
        <v>746</v>
      </c>
      <c r="G58" s="58">
        <v>627.629</v>
      </c>
      <c r="H58" s="16" t="s">
        <v>748</v>
      </c>
      <c r="I58" s="40">
        <f t="shared" si="13"/>
        <v>0.124000000000024</v>
      </c>
      <c r="J58" s="178"/>
      <c r="K58" s="178"/>
      <c r="L58" s="178"/>
      <c r="M58" s="178"/>
      <c r="N58" s="22" t="s">
        <v>749</v>
      </c>
      <c r="O58" s="16"/>
    </row>
    <row r="59" s="6" customFormat="1" ht="18" customHeight="1" spans="1:15">
      <c r="A59" s="178"/>
      <c r="B59" s="178"/>
      <c r="C59" s="16" t="s">
        <v>415</v>
      </c>
      <c r="D59" s="16" t="s">
        <v>746</v>
      </c>
      <c r="E59" s="58">
        <v>627.855</v>
      </c>
      <c r="F59" s="16" t="s">
        <v>746</v>
      </c>
      <c r="G59" s="58">
        <v>627.911</v>
      </c>
      <c r="H59" s="16" t="s">
        <v>748</v>
      </c>
      <c r="I59" s="40">
        <f t="shared" si="13"/>
        <v>0.0559999999999263</v>
      </c>
      <c r="J59" s="178"/>
      <c r="K59" s="178"/>
      <c r="L59" s="178"/>
      <c r="M59" s="178"/>
      <c r="N59" s="22" t="s">
        <v>749</v>
      </c>
      <c r="O59" s="16"/>
    </row>
    <row r="60" s="6" customFormat="1" ht="18" customHeight="1" spans="1:15">
      <c r="A60" s="178"/>
      <c r="B60" s="178"/>
      <c r="C60" s="16" t="s">
        <v>415</v>
      </c>
      <c r="D60" s="16" t="s">
        <v>750</v>
      </c>
      <c r="E60" s="58">
        <v>629.312</v>
      </c>
      <c r="F60" s="16" t="s">
        <v>750</v>
      </c>
      <c r="G60" s="58">
        <v>629.428</v>
      </c>
      <c r="H60" s="16" t="s">
        <v>748</v>
      </c>
      <c r="I60" s="40">
        <f t="shared" si="13"/>
        <v>0.115999999999985</v>
      </c>
      <c r="J60" s="178"/>
      <c r="K60" s="178"/>
      <c r="L60" s="178"/>
      <c r="M60" s="178"/>
      <c r="N60" s="22" t="s">
        <v>749</v>
      </c>
      <c r="O60" s="16"/>
    </row>
    <row r="61" s="6" customFormat="1" ht="18" customHeight="1" spans="1:15">
      <c r="A61" s="178"/>
      <c r="B61" s="178"/>
      <c r="C61" s="16" t="s">
        <v>415</v>
      </c>
      <c r="D61" s="16" t="s">
        <v>751</v>
      </c>
      <c r="E61" s="58">
        <v>631.526</v>
      </c>
      <c r="F61" s="16" t="s">
        <v>751</v>
      </c>
      <c r="G61" s="58">
        <v>631.554</v>
      </c>
      <c r="H61" s="16" t="s">
        <v>748</v>
      </c>
      <c r="I61" s="40">
        <f t="shared" si="13"/>
        <v>0.02800000000002</v>
      </c>
      <c r="J61" s="178"/>
      <c r="K61" s="178"/>
      <c r="L61" s="178"/>
      <c r="M61" s="178"/>
      <c r="N61" s="22" t="s">
        <v>749</v>
      </c>
      <c r="O61" s="16"/>
    </row>
    <row r="62" s="6" customFormat="1" ht="18" customHeight="1" spans="1:15">
      <c r="A62" s="178"/>
      <c r="B62" s="178"/>
      <c r="C62" s="16" t="s">
        <v>415</v>
      </c>
      <c r="D62" s="16" t="s">
        <v>751</v>
      </c>
      <c r="E62" s="58">
        <v>631.749</v>
      </c>
      <c r="F62" s="16" t="s">
        <v>751</v>
      </c>
      <c r="G62" s="58">
        <v>631.933</v>
      </c>
      <c r="H62" s="16" t="s">
        <v>748</v>
      </c>
      <c r="I62" s="40">
        <f t="shared" si="13"/>
        <v>0.183999999999969</v>
      </c>
      <c r="J62" s="178"/>
      <c r="K62" s="178"/>
      <c r="L62" s="178"/>
      <c r="M62" s="178"/>
      <c r="N62" s="22" t="s">
        <v>749</v>
      </c>
      <c r="O62" s="16"/>
    </row>
    <row r="63" s="6" customFormat="1" ht="18" customHeight="1" spans="1:15">
      <c r="A63" s="178"/>
      <c r="B63" s="178"/>
      <c r="C63" s="16" t="s">
        <v>415</v>
      </c>
      <c r="D63" s="16" t="s">
        <v>751</v>
      </c>
      <c r="E63" s="58">
        <v>632.594</v>
      </c>
      <c r="F63" s="16" t="s">
        <v>751</v>
      </c>
      <c r="G63" s="58">
        <v>632.622</v>
      </c>
      <c r="H63" s="16" t="s">
        <v>748</v>
      </c>
      <c r="I63" s="40">
        <f t="shared" si="13"/>
        <v>0.0279999999999063</v>
      </c>
      <c r="J63" s="178"/>
      <c r="K63" s="178"/>
      <c r="L63" s="178"/>
      <c r="M63" s="178"/>
      <c r="N63" s="22" t="s">
        <v>749</v>
      </c>
      <c r="O63" s="16"/>
    </row>
    <row r="64" s="6" customFormat="1" ht="18" customHeight="1" spans="1:15">
      <c r="A64" s="178"/>
      <c r="B64" s="178"/>
      <c r="C64" s="16" t="s">
        <v>415</v>
      </c>
      <c r="D64" s="16" t="s">
        <v>751</v>
      </c>
      <c r="E64" s="58">
        <v>632.672</v>
      </c>
      <c r="F64" s="16" t="s">
        <v>751</v>
      </c>
      <c r="G64" s="58">
        <v>632.716</v>
      </c>
      <c r="H64" s="16" t="s">
        <v>748</v>
      </c>
      <c r="I64" s="40">
        <f t="shared" si="13"/>
        <v>0.0439999999999827</v>
      </c>
      <c r="J64" s="178"/>
      <c r="K64" s="178"/>
      <c r="L64" s="178"/>
      <c r="M64" s="178"/>
      <c r="N64" s="22" t="s">
        <v>749</v>
      </c>
      <c r="O64" s="16"/>
    </row>
    <row r="65" s="6" customFormat="1" ht="18" customHeight="1" spans="1:15">
      <c r="A65" s="178"/>
      <c r="B65" s="178"/>
      <c r="C65" s="16" t="s">
        <v>415</v>
      </c>
      <c r="D65" s="16" t="s">
        <v>751</v>
      </c>
      <c r="E65" s="58">
        <v>632.876</v>
      </c>
      <c r="F65" s="16" t="s">
        <v>751</v>
      </c>
      <c r="G65" s="58">
        <v>632.914</v>
      </c>
      <c r="H65" s="16" t="s">
        <v>748</v>
      </c>
      <c r="I65" s="40">
        <f t="shared" si="13"/>
        <v>0.0380000000000109</v>
      </c>
      <c r="J65" s="178"/>
      <c r="K65" s="178"/>
      <c r="L65" s="178"/>
      <c r="M65" s="178"/>
      <c r="N65" s="22" t="s">
        <v>749</v>
      </c>
      <c r="O65" s="16"/>
    </row>
    <row r="66" s="6" customFormat="1" ht="18" customHeight="1" spans="1:15">
      <c r="A66" s="178"/>
      <c r="B66" s="178"/>
      <c r="C66" s="16" t="s">
        <v>415</v>
      </c>
      <c r="D66" s="16" t="s">
        <v>751</v>
      </c>
      <c r="E66" s="58">
        <v>633.072</v>
      </c>
      <c r="F66" s="16" t="s">
        <v>751</v>
      </c>
      <c r="G66" s="58">
        <v>633.118</v>
      </c>
      <c r="H66" s="16" t="s">
        <v>748</v>
      </c>
      <c r="I66" s="40">
        <f t="shared" si="13"/>
        <v>0.0460000000000491</v>
      </c>
      <c r="J66" s="178"/>
      <c r="K66" s="178"/>
      <c r="L66" s="178"/>
      <c r="M66" s="178"/>
      <c r="N66" s="22" t="s">
        <v>749</v>
      </c>
      <c r="O66" s="16"/>
    </row>
    <row r="67" s="6" customFormat="1" ht="18" customHeight="1" spans="1:15">
      <c r="A67" s="178"/>
      <c r="B67" s="178"/>
      <c r="C67" s="16" t="s">
        <v>415</v>
      </c>
      <c r="D67" s="16" t="s">
        <v>751</v>
      </c>
      <c r="E67" s="58">
        <v>633.147</v>
      </c>
      <c r="F67" s="16" t="s">
        <v>751</v>
      </c>
      <c r="G67" s="58">
        <v>633.175</v>
      </c>
      <c r="H67" s="16" t="s">
        <v>748</v>
      </c>
      <c r="I67" s="40">
        <f t="shared" si="13"/>
        <v>0.0279999999999063</v>
      </c>
      <c r="J67" s="178"/>
      <c r="K67" s="178"/>
      <c r="L67" s="178"/>
      <c r="M67" s="178"/>
      <c r="N67" s="22" t="s">
        <v>749</v>
      </c>
      <c r="O67" s="16"/>
    </row>
    <row r="68" s="6" customFormat="1" ht="18" customHeight="1" spans="1:15">
      <c r="A68" s="178"/>
      <c r="B68" s="178"/>
      <c r="C68" s="16" t="s">
        <v>415</v>
      </c>
      <c r="D68" s="16" t="s">
        <v>751</v>
      </c>
      <c r="E68" s="58">
        <v>633.237</v>
      </c>
      <c r="F68" s="16" t="s">
        <v>751</v>
      </c>
      <c r="G68" s="58">
        <v>633.389</v>
      </c>
      <c r="H68" s="16" t="s">
        <v>748</v>
      </c>
      <c r="I68" s="40">
        <f t="shared" si="13"/>
        <v>0.152000000000044</v>
      </c>
      <c r="J68" s="178"/>
      <c r="K68" s="178"/>
      <c r="L68" s="178"/>
      <c r="M68" s="178"/>
      <c r="N68" s="22" t="s">
        <v>749</v>
      </c>
      <c r="O68" s="16"/>
    </row>
    <row r="69" s="6" customFormat="1" ht="18" customHeight="1" spans="1:15">
      <c r="A69" s="178"/>
      <c r="B69" s="178"/>
      <c r="C69" s="16" t="s">
        <v>415</v>
      </c>
      <c r="D69" s="16" t="s">
        <v>751</v>
      </c>
      <c r="E69" s="58">
        <v>633.435</v>
      </c>
      <c r="F69" s="16" t="s">
        <v>751</v>
      </c>
      <c r="G69" s="58">
        <v>633.551</v>
      </c>
      <c r="H69" s="16" t="s">
        <v>748</v>
      </c>
      <c r="I69" s="40">
        <f t="shared" si="13"/>
        <v>0.116000000000099</v>
      </c>
      <c r="J69" s="178"/>
      <c r="K69" s="178"/>
      <c r="L69" s="178"/>
      <c r="M69" s="178"/>
      <c r="N69" s="22" t="s">
        <v>749</v>
      </c>
      <c r="O69" s="16"/>
    </row>
    <row r="70" s="6" customFormat="1" ht="18" customHeight="1" spans="1:15">
      <c r="A70" s="178"/>
      <c r="B70" s="178"/>
      <c r="C70" s="16" t="s">
        <v>415</v>
      </c>
      <c r="D70" s="16" t="s">
        <v>752</v>
      </c>
      <c r="E70" s="58">
        <v>633.831</v>
      </c>
      <c r="F70" s="16" t="s">
        <v>752</v>
      </c>
      <c r="G70" s="58">
        <v>633.887</v>
      </c>
      <c r="H70" s="16" t="s">
        <v>748</v>
      </c>
      <c r="I70" s="40">
        <f t="shared" si="13"/>
        <v>0.0559999999999263</v>
      </c>
      <c r="J70" s="178"/>
      <c r="K70" s="178"/>
      <c r="L70" s="178"/>
      <c r="M70" s="178"/>
      <c r="N70" s="22" t="s">
        <v>749</v>
      </c>
      <c r="O70" s="16"/>
    </row>
    <row r="71" s="6" customFormat="1" ht="18" customHeight="1" spans="1:15">
      <c r="A71" s="178"/>
      <c r="B71" s="178"/>
      <c r="C71" s="16" t="s">
        <v>415</v>
      </c>
      <c r="D71" s="16" t="s">
        <v>752</v>
      </c>
      <c r="E71" s="58">
        <v>635.69</v>
      </c>
      <c r="F71" s="16" t="s">
        <v>752</v>
      </c>
      <c r="G71" s="58">
        <v>635.872</v>
      </c>
      <c r="H71" s="16" t="s">
        <v>748</v>
      </c>
      <c r="I71" s="40">
        <f t="shared" si="13"/>
        <v>0.181999999999903</v>
      </c>
      <c r="J71" s="178"/>
      <c r="K71" s="178"/>
      <c r="L71" s="178"/>
      <c r="M71" s="178"/>
      <c r="N71" s="22" t="s">
        <v>749</v>
      </c>
      <c r="O71" s="16"/>
    </row>
    <row r="72" s="6" customFormat="1" ht="18" customHeight="1" spans="1:15">
      <c r="A72" s="178"/>
      <c r="B72" s="178"/>
      <c r="C72" s="16" t="s">
        <v>415</v>
      </c>
      <c r="D72" s="16" t="s">
        <v>753</v>
      </c>
      <c r="E72" s="62">
        <v>644.424</v>
      </c>
      <c r="F72" s="16" t="s">
        <v>753</v>
      </c>
      <c r="G72" s="58">
        <v>644.791</v>
      </c>
      <c r="H72" s="16" t="s">
        <v>748</v>
      </c>
      <c r="I72" s="40">
        <f t="shared" si="13"/>
        <v>0.367000000000076</v>
      </c>
      <c r="J72" s="177">
        <f>K72*1.125</f>
        <v>56</v>
      </c>
      <c r="K72" s="177">
        <f>927*540/10000</f>
        <v>50</v>
      </c>
      <c r="L72" s="178"/>
      <c r="M72" s="178"/>
      <c r="N72" s="22" t="s">
        <v>749</v>
      </c>
      <c r="O72" s="16"/>
    </row>
    <row r="73" s="6" customFormat="1" ht="18" customHeight="1" spans="1:15">
      <c r="A73" s="178"/>
      <c r="B73" s="178"/>
      <c r="C73" s="16" t="s">
        <v>415</v>
      </c>
      <c r="D73" s="16" t="s">
        <v>753</v>
      </c>
      <c r="E73" s="62">
        <v>644.808</v>
      </c>
      <c r="F73" s="16" t="s">
        <v>753</v>
      </c>
      <c r="G73" s="58">
        <v>645.368</v>
      </c>
      <c r="H73" s="16" t="s">
        <v>748</v>
      </c>
      <c r="I73" s="40">
        <f t="shared" si="13"/>
        <v>0.560000000000059</v>
      </c>
      <c r="J73" s="178"/>
      <c r="K73" s="178"/>
      <c r="L73" s="178"/>
      <c r="M73" s="178"/>
      <c r="N73" s="22" t="s">
        <v>749</v>
      </c>
      <c r="O73" s="16"/>
    </row>
    <row r="74" s="6" customFormat="1" ht="18" customHeight="1" spans="1:15">
      <c r="A74" s="178"/>
      <c r="B74" s="178"/>
      <c r="C74" s="16" t="s">
        <v>415</v>
      </c>
      <c r="D74" s="16" t="s">
        <v>754</v>
      </c>
      <c r="E74" s="58">
        <v>649.559</v>
      </c>
      <c r="F74" s="16" t="s">
        <v>755</v>
      </c>
      <c r="G74" s="58">
        <v>649.8</v>
      </c>
      <c r="H74" s="16" t="s">
        <v>748</v>
      </c>
      <c r="I74" s="40">
        <f t="shared" si="13"/>
        <v>0.240999999999985</v>
      </c>
      <c r="J74" s="146">
        <v>71</v>
      </c>
      <c r="K74" s="146">
        <v>63</v>
      </c>
      <c r="L74" s="178"/>
      <c r="M74" s="178"/>
      <c r="N74" s="22" t="s">
        <v>749</v>
      </c>
      <c r="O74" s="16"/>
    </row>
    <row r="75" s="6" customFormat="1" ht="18" customHeight="1" spans="1:15">
      <c r="A75" s="178"/>
      <c r="B75" s="178"/>
      <c r="C75" s="16" t="s">
        <v>415</v>
      </c>
      <c r="D75" s="16" t="s">
        <v>754</v>
      </c>
      <c r="E75" s="58">
        <v>649.948</v>
      </c>
      <c r="F75" s="16" t="s">
        <v>754</v>
      </c>
      <c r="G75" s="58">
        <v>650.218</v>
      </c>
      <c r="H75" s="16" t="s">
        <v>748</v>
      </c>
      <c r="I75" s="40">
        <f t="shared" si="13"/>
        <v>0.269999999999982</v>
      </c>
      <c r="J75" s="146"/>
      <c r="K75" s="146"/>
      <c r="L75" s="178"/>
      <c r="M75" s="178"/>
      <c r="N75" s="22" t="s">
        <v>749</v>
      </c>
      <c r="O75" s="16"/>
    </row>
    <row r="76" s="6" customFormat="1" ht="18" customHeight="1" spans="1:15">
      <c r="A76" s="178"/>
      <c r="B76" s="178"/>
      <c r="C76" s="16" t="s">
        <v>415</v>
      </c>
      <c r="D76" s="16" t="s">
        <v>754</v>
      </c>
      <c r="E76" s="58">
        <v>650.435</v>
      </c>
      <c r="F76" s="16" t="s">
        <v>754</v>
      </c>
      <c r="G76" s="58">
        <v>650.511</v>
      </c>
      <c r="H76" s="16" t="s">
        <v>748</v>
      </c>
      <c r="I76" s="40">
        <f t="shared" si="13"/>
        <v>0.0760000000000218</v>
      </c>
      <c r="J76" s="146"/>
      <c r="K76" s="146"/>
      <c r="L76" s="178"/>
      <c r="M76" s="178"/>
      <c r="N76" s="22" t="s">
        <v>749</v>
      </c>
      <c r="O76" s="16"/>
    </row>
    <row r="77" s="6" customFormat="1" ht="18" customHeight="1" spans="1:15">
      <c r="A77" s="178"/>
      <c r="B77" s="178"/>
      <c r="C77" s="16" t="s">
        <v>415</v>
      </c>
      <c r="D77" s="16" t="s">
        <v>754</v>
      </c>
      <c r="E77" s="58">
        <v>650.569</v>
      </c>
      <c r="F77" s="16" t="s">
        <v>754</v>
      </c>
      <c r="G77" s="58">
        <v>650.617</v>
      </c>
      <c r="H77" s="16" t="s">
        <v>748</v>
      </c>
      <c r="I77" s="40">
        <f t="shared" si="13"/>
        <v>0.0480000000000018</v>
      </c>
      <c r="J77" s="146"/>
      <c r="K77" s="146"/>
      <c r="L77" s="178"/>
      <c r="M77" s="178"/>
      <c r="N77" s="22" t="s">
        <v>749</v>
      </c>
      <c r="O77" s="16"/>
    </row>
    <row r="78" s="6" customFormat="1" ht="18" customHeight="1" spans="1:15">
      <c r="A78" s="178"/>
      <c r="B78" s="178"/>
      <c r="C78" s="16" t="s">
        <v>415</v>
      </c>
      <c r="D78" s="16" t="s">
        <v>754</v>
      </c>
      <c r="E78" s="58">
        <v>650.673</v>
      </c>
      <c r="F78" s="16" t="s">
        <v>754</v>
      </c>
      <c r="G78" s="58">
        <v>650.865</v>
      </c>
      <c r="H78" s="16" t="s">
        <v>748</v>
      </c>
      <c r="I78" s="40">
        <f t="shared" si="13"/>
        <v>0.192000000000007</v>
      </c>
      <c r="J78" s="146"/>
      <c r="K78" s="146"/>
      <c r="L78" s="178"/>
      <c r="M78" s="178"/>
      <c r="N78" s="22" t="s">
        <v>749</v>
      </c>
      <c r="O78" s="16"/>
    </row>
    <row r="79" s="6" customFormat="1" ht="18" customHeight="1" spans="1:15">
      <c r="A79" s="178"/>
      <c r="B79" s="178"/>
      <c r="C79" s="16" t="s">
        <v>415</v>
      </c>
      <c r="D79" s="16" t="s">
        <v>756</v>
      </c>
      <c r="E79" s="58">
        <v>651.568</v>
      </c>
      <c r="F79" s="16" t="s">
        <v>756</v>
      </c>
      <c r="G79" s="58">
        <v>651.72</v>
      </c>
      <c r="H79" s="16" t="s">
        <v>748</v>
      </c>
      <c r="I79" s="40">
        <f t="shared" si="13"/>
        <v>0.152000000000044</v>
      </c>
      <c r="J79" s="146"/>
      <c r="K79" s="146"/>
      <c r="L79" s="178"/>
      <c r="M79" s="178"/>
      <c r="N79" s="22" t="s">
        <v>749</v>
      </c>
      <c r="O79" s="16"/>
    </row>
    <row r="80" s="6" customFormat="1" ht="18" customHeight="1" spans="1:15">
      <c r="A80" s="178"/>
      <c r="B80" s="178"/>
      <c r="C80" s="16" t="s">
        <v>415</v>
      </c>
      <c r="D80" s="16" t="s">
        <v>756</v>
      </c>
      <c r="E80" s="58">
        <v>652.618</v>
      </c>
      <c r="F80" s="16" t="s">
        <v>756</v>
      </c>
      <c r="G80" s="58">
        <v>652.742</v>
      </c>
      <c r="H80" s="16" t="s">
        <v>748</v>
      </c>
      <c r="I80" s="40">
        <f t="shared" si="13"/>
        <v>0.12399999999991</v>
      </c>
      <c r="J80" s="146"/>
      <c r="K80" s="146"/>
      <c r="L80" s="178"/>
      <c r="M80" s="178"/>
      <c r="N80" s="22" t="s">
        <v>749</v>
      </c>
      <c r="O80" s="16"/>
    </row>
    <row r="81" s="6" customFormat="1" ht="18" customHeight="1" spans="1:15">
      <c r="A81" s="178"/>
      <c r="B81" s="178"/>
      <c r="C81" s="16" t="s">
        <v>415</v>
      </c>
      <c r="D81" s="16" t="s">
        <v>756</v>
      </c>
      <c r="E81" s="58">
        <v>652.798</v>
      </c>
      <c r="F81" s="16" t="s">
        <v>756</v>
      </c>
      <c r="G81" s="58">
        <v>652.85</v>
      </c>
      <c r="H81" s="16" t="s">
        <v>748</v>
      </c>
      <c r="I81" s="40">
        <f t="shared" si="13"/>
        <v>0.0520000000000209</v>
      </c>
      <c r="J81" s="146"/>
      <c r="K81" s="146"/>
      <c r="L81" s="178"/>
      <c r="M81" s="178"/>
      <c r="N81" s="22" t="s">
        <v>749</v>
      </c>
      <c r="O81" s="16"/>
    </row>
    <row r="82" s="6" customFormat="1" ht="18" customHeight="1" spans="1:15">
      <c r="A82" s="178"/>
      <c r="B82" s="178"/>
      <c r="C82" s="16" t="s">
        <v>415</v>
      </c>
      <c r="D82" s="16" t="s">
        <v>757</v>
      </c>
      <c r="E82" s="58">
        <v>653.067</v>
      </c>
      <c r="F82" s="16" t="s">
        <v>757</v>
      </c>
      <c r="G82" s="58">
        <v>653.103</v>
      </c>
      <c r="H82" s="16" t="s">
        <v>748</v>
      </c>
      <c r="I82" s="40">
        <f t="shared" si="13"/>
        <v>0.0359999999999445</v>
      </c>
      <c r="J82" s="178">
        <f>K82*1.125</f>
        <v>63</v>
      </c>
      <c r="K82" s="178">
        <f>1.032*540/10</f>
        <v>56</v>
      </c>
      <c r="L82" s="178"/>
      <c r="M82" s="178"/>
      <c r="N82" s="22" t="s">
        <v>749</v>
      </c>
      <c r="O82" s="16"/>
    </row>
    <row r="83" s="6" customFormat="1" ht="18" customHeight="1" spans="1:15">
      <c r="A83" s="178"/>
      <c r="B83" s="178"/>
      <c r="C83" s="16" t="s">
        <v>415</v>
      </c>
      <c r="D83" s="16" t="s">
        <v>757</v>
      </c>
      <c r="E83" s="58">
        <v>653.25</v>
      </c>
      <c r="F83" s="16" t="s">
        <v>757</v>
      </c>
      <c r="G83" s="58">
        <v>653.502</v>
      </c>
      <c r="H83" s="16" t="s">
        <v>748</v>
      </c>
      <c r="I83" s="40">
        <f t="shared" si="13"/>
        <v>0.251999999999953</v>
      </c>
      <c r="J83" s="178"/>
      <c r="K83" s="178"/>
      <c r="L83" s="178"/>
      <c r="M83" s="178"/>
      <c r="N83" s="22" t="s">
        <v>749</v>
      </c>
      <c r="O83" s="16"/>
    </row>
    <row r="84" s="6" customFormat="1" ht="18" customHeight="1" spans="1:15">
      <c r="A84" s="178"/>
      <c r="B84" s="178"/>
      <c r="C84" s="16" t="s">
        <v>415</v>
      </c>
      <c r="D84" s="16" t="s">
        <v>757</v>
      </c>
      <c r="E84" s="58">
        <v>653.574</v>
      </c>
      <c r="F84" s="16" t="s">
        <v>757</v>
      </c>
      <c r="G84" s="58">
        <v>653.65</v>
      </c>
      <c r="H84" s="16" t="s">
        <v>748</v>
      </c>
      <c r="I84" s="40">
        <f t="shared" si="13"/>
        <v>0.0760000000000218</v>
      </c>
      <c r="J84" s="178"/>
      <c r="K84" s="178"/>
      <c r="L84" s="178"/>
      <c r="M84" s="178"/>
      <c r="N84" s="22" t="s">
        <v>749</v>
      </c>
      <c r="O84" s="16"/>
    </row>
    <row r="85" s="6" customFormat="1" ht="18" customHeight="1" spans="1:15">
      <c r="A85" s="178"/>
      <c r="B85" s="178"/>
      <c r="C85" s="16" t="s">
        <v>415</v>
      </c>
      <c r="D85" s="16" t="s">
        <v>757</v>
      </c>
      <c r="E85" s="58">
        <v>654.018</v>
      </c>
      <c r="F85" s="16" t="s">
        <v>757</v>
      </c>
      <c r="G85" s="58">
        <v>654.202</v>
      </c>
      <c r="H85" s="16" t="s">
        <v>748</v>
      </c>
      <c r="I85" s="40">
        <f t="shared" si="13"/>
        <v>0.183999999999969</v>
      </c>
      <c r="J85" s="178"/>
      <c r="K85" s="178"/>
      <c r="L85" s="178"/>
      <c r="M85" s="178"/>
      <c r="N85" s="22" t="s">
        <v>749</v>
      </c>
      <c r="O85" s="16"/>
    </row>
    <row r="86" s="6" customFormat="1" ht="18" customHeight="1" spans="1:15">
      <c r="A86" s="178"/>
      <c r="B86" s="178"/>
      <c r="C86" s="16" t="s">
        <v>415</v>
      </c>
      <c r="D86" s="16" t="s">
        <v>757</v>
      </c>
      <c r="E86" s="58">
        <v>654.247</v>
      </c>
      <c r="F86" s="16" t="s">
        <v>757</v>
      </c>
      <c r="G86" s="58">
        <v>654.271</v>
      </c>
      <c r="H86" s="16" t="s">
        <v>748</v>
      </c>
      <c r="I86" s="40">
        <f t="shared" si="13"/>
        <v>0.0240000000000009</v>
      </c>
      <c r="J86" s="178"/>
      <c r="K86" s="178"/>
      <c r="L86" s="178"/>
      <c r="M86" s="178"/>
      <c r="N86" s="22" t="s">
        <v>749</v>
      </c>
      <c r="O86" s="16"/>
    </row>
    <row r="87" s="6" customFormat="1" ht="18" customHeight="1" spans="1:15">
      <c r="A87" s="178"/>
      <c r="B87" s="178"/>
      <c r="C87" s="16" t="s">
        <v>415</v>
      </c>
      <c r="D87" s="16" t="s">
        <v>757</v>
      </c>
      <c r="E87" s="58">
        <v>654.549</v>
      </c>
      <c r="F87" s="16" t="s">
        <v>757</v>
      </c>
      <c r="G87" s="16">
        <v>654.629</v>
      </c>
      <c r="H87" s="16" t="s">
        <v>748</v>
      </c>
      <c r="I87" s="40">
        <f t="shared" si="13"/>
        <v>0.0800000000000409</v>
      </c>
      <c r="J87" s="178"/>
      <c r="K87" s="178"/>
      <c r="L87" s="178"/>
      <c r="M87" s="178"/>
      <c r="N87" s="22" t="s">
        <v>749</v>
      </c>
      <c r="O87" s="16"/>
    </row>
    <row r="88" s="6" customFormat="1" ht="18" customHeight="1" spans="1:15">
      <c r="A88" s="178"/>
      <c r="B88" s="178"/>
      <c r="C88" s="16" t="s">
        <v>415</v>
      </c>
      <c r="D88" s="16" t="s">
        <v>757</v>
      </c>
      <c r="E88" s="58">
        <v>654.692</v>
      </c>
      <c r="F88" s="16" t="s">
        <v>757</v>
      </c>
      <c r="G88" s="16">
        <v>654.768</v>
      </c>
      <c r="H88" s="16" t="s">
        <v>748</v>
      </c>
      <c r="I88" s="40">
        <f t="shared" si="13"/>
        <v>0.0760000000000218</v>
      </c>
      <c r="J88" s="178"/>
      <c r="K88" s="178"/>
      <c r="L88" s="178"/>
      <c r="M88" s="178"/>
      <c r="N88" s="22" t="s">
        <v>749</v>
      </c>
      <c r="O88" s="16"/>
    </row>
    <row r="89" s="6" customFormat="1" ht="18" customHeight="1" spans="1:15">
      <c r="A89" s="178"/>
      <c r="B89" s="178"/>
      <c r="C89" s="16" t="s">
        <v>415</v>
      </c>
      <c r="D89" s="16" t="s">
        <v>757</v>
      </c>
      <c r="E89" s="58">
        <v>654.775</v>
      </c>
      <c r="F89" s="16" t="s">
        <v>757</v>
      </c>
      <c r="G89" s="16">
        <v>654.811</v>
      </c>
      <c r="H89" s="16" t="s">
        <v>748</v>
      </c>
      <c r="I89" s="40">
        <f t="shared" si="13"/>
        <v>0.0360000000000582</v>
      </c>
      <c r="J89" s="178"/>
      <c r="K89" s="178"/>
      <c r="L89" s="178"/>
      <c r="M89" s="178"/>
      <c r="N89" s="22" t="s">
        <v>749</v>
      </c>
      <c r="O89" s="16"/>
    </row>
    <row r="90" s="6" customFormat="1" ht="18" customHeight="1" spans="1:15">
      <c r="A90" s="178"/>
      <c r="B90" s="178"/>
      <c r="C90" s="16" t="s">
        <v>415</v>
      </c>
      <c r="D90" s="16" t="s">
        <v>757</v>
      </c>
      <c r="E90" s="58">
        <v>655.337</v>
      </c>
      <c r="F90" s="16" t="s">
        <v>757</v>
      </c>
      <c r="G90" s="16">
        <v>655.381</v>
      </c>
      <c r="H90" s="16" t="s">
        <v>748</v>
      </c>
      <c r="I90" s="40">
        <f t="shared" si="13"/>
        <v>0.0439999999999827</v>
      </c>
      <c r="J90" s="178"/>
      <c r="K90" s="178"/>
      <c r="L90" s="178"/>
      <c r="M90" s="178"/>
      <c r="N90" s="22" t="s">
        <v>749</v>
      </c>
      <c r="O90" s="16"/>
    </row>
    <row r="91" s="6" customFormat="1" ht="18" customHeight="1" spans="1:15">
      <c r="A91" s="178"/>
      <c r="B91" s="178"/>
      <c r="C91" s="16" t="s">
        <v>415</v>
      </c>
      <c r="D91" s="16" t="s">
        <v>757</v>
      </c>
      <c r="E91" s="58">
        <v>654.78</v>
      </c>
      <c r="F91" s="16" t="s">
        <v>757</v>
      </c>
      <c r="G91" s="58">
        <v>655.004</v>
      </c>
      <c r="H91" s="16" t="s">
        <v>748</v>
      </c>
      <c r="I91" s="40">
        <f t="shared" si="13"/>
        <v>0.224000000000046</v>
      </c>
      <c r="J91" s="178"/>
      <c r="K91" s="178"/>
      <c r="L91" s="178"/>
      <c r="M91" s="178"/>
      <c r="N91" s="22" t="s">
        <v>749</v>
      </c>
      <c r="O91" s="16"/>
    </row>
    <row r="92" s="6" customFormat="1" ht="24" customHeight="1" spans="1:15">
      <c r="A92" s="12" t="s">
        <v>70</v>
      </c>
      <c r="B92" s="13"/>
      <c r="C92" s="13"/>
      <c r="D92" s="13"/>
      <c r="E92" s="13"/>
      <c r="F92" s="13"/>
      <c r="G92" s="13"/>
      <c r="H92" s="14"/>
      <c r="I92" s="69">
        <f t="shared" ref="I92:K92" si="14">SUM(I93:I113)</f>
        <v>1.544</v>
      </c>
      <c r="J92" s="190">
        <f t="shared" si="14"/>
        <v>55</v>
      </c>
      <c r="K92" s="190">
        <f t="shared" si="14"/>
        <v>50</v>
      </c>
      <c r="L92" s="69"/>
      <c r="M92" s="69">
        <f>M95</f>
        <v>14</v>
      </c>
      <c r="N92" s="16"/>
      <c r="O92" s="16"/>
    </row>
    <row r="93" s="6" customFormat="1" ht="18" customHeight="1" spans="1:15">
      <c r="A93" s="16">
        <v>11</v>
      </c>
      <c r="B93" s="16" t="s">
        <v>70</v>
      </c>
      <c r="C93" s="16" t="s">
        <v>63</v>
      </c>
      <c r="D93" s="16" t="s">
        <v>65</v>
      </c>
      <c r="E93" s="58">
        <v>574.44</v>
      </c>
      <c r="F93" s="40" t="s">
        <v>65</v>
      </c>
      <c r="G93" s="58">
        <v>574.48</v>
      </c>
      <c r="H93" s="16" t="s">
        <v>725</v>
      </c>
      <c r="I93" s="40">
        <v>0.05</v>
      </c>
      <c r="J93" s="146">
        <v>20</v>
      </c>
      <c r="K93" s="146">
        <f t="shared" ref="K93:K113" si="15">J93*0.85</f>
        <v>17</v>
      </c>
      <c r="L93" s="195">
        <f>I93*20</f>
        <v>1</v>
      </c>
      <c r="M93" s="195">
        <f>K93*75%</f>
        <v>12.8</v>
      </c>
      <c r="N93" s="16" t="s">
        <v>758</v>
      </c>
      <c r="O93" s="16"/>
    </row>
    <row r="94" s="6" customFormat="1" ht="18" customHeight="1" spans="1:15">
      <c r="A94" s="16">
        <v>12</v>
      </c>
      <c r="B94" s="16" t="s">
        <v>70</v>
      </c>
      <c r="C94" s="16" t="s">
        <v>253</v>
      </c>
      <c r="D94" s="40" t="s">
        <v>759</v>
      </c>
      <c r="E94" s="24">
        <v>7.3</v>
      </c>
      <c r="F94" s="40" t="s">
        <v>759</v>
      </c>
      <c r="G94" s="58">
        <v>7.45</v>
      </c>
      <c r="H94" s="16" t="s">
        <v>672</v>
      </c>
      <c r="I94" s="16">
        <v>0.026</v>
      </c>
      <c r="J94" s="146">
        <v>11</v>
      </c>
      <c r="K94" s="146">
        <f t="shared" si="15"/>
        <v>9</v>
      </c>
      <c r="L94" s="195">
        <f>I94*20</f>
        <v>0.5</v>
      </c>
      <c r="M94" s="195">
        <f>K94*75%</f>
        <v>6.8</v>
      </c>
      <c r="N94" s="16" t="s">
        <v>760</v>
      </c>
      <c r="O94" s="16"/>
    </row>
    <row r="95" s="6" customFormat="1" ht="18" customHeight="1" spans="1:15">
      <c r="A95" s="20">
        <v>13</v>
      </c>
      <c r="B95" s="20" t="s">
        <v>70</v>
      </c>
      <c r="C95" s="16" t="s">
        <v>446</v>
      </c>
      <c r="D95" s="40" t="s">
        <v>761</v>
      </c>
      <c r="E95" s="24">
        <v>28.316</v>
      </c>
      <c r="F95" s="40" t="s">
        <v>761</v>
      </c>
      <c r="G95" s="58">
        <v>28.385</v>
      </c>
      <c r="H95" s="16" t="s">
        <v>672</v>
      </c>
      <c r="I95" s="16">
        <v>0.06</v>
      </c>
      <c r="J95" s="146">
        <f>150*60/10000</f>
        <v>1</v>
      </c>
      <c r="K95" s="146">
        <f t="shared" si="15"/>
        <v>1</v>
      </c>
      <c r="L95" s="177">
        <f>(I95+I96+I97+I98+I99+I100+I101+I102+I103+I104+I105+I106+I107+I108+I109+I110+I111+I112+I113)*15</f>
        <v>22</v>
      </c>
      <c r="M95" s="177">
        <f>(K95+K96+K97+K98+K99+K100+K101+K102+K103+K104+K105+K106+K107+K108+K109+K110+K111+K112+K113)*60%</f>
        <v>14</v>
      </c>
      <c r="N95" s="16" t="s">
        <v>762</v>
      </c>
      <c r="O95" s="16"/>
    </row>
    <row r="96" s="6" customFormat="1" ht="18" customHeight="1" spans="1:15">
      <c r="A96" s="23">
        <v>4</v>
      </c>
      <c r="B96" s="23"/>
      <c r="C96" s="16" t="s">
        <v>446</v>
      </c>
      <c r="D96" s="40" t="s">
        <v>763</v>
      </c>
      <c r="E96" s="24">
        <v>28.091</v>
      </c>
      <c r="F96" s="40" t="s">
        <v>763</v>
      </c>
      <c r="G96" s="58">
        <v>28.227</v>
      </c>
      <c r="H96" s="16" t="s">
        <v>672</v>
      </c>
      <c r="I96" s="16">
        <v>0.132</v>
      </c>
      <c r="J96" s="146">
        <f>132*150/10000</f>
        <v>2</v>
      </c>
      <c r="K96" s="146">
        <f t="shared" si="15"/>
        <v>2</v>
      </c>
      <c r="L96" s="178"/>
      <c r="M96" s="178"/>
      <c r="N96" s="16" t="s">
        <v>762</v>
      </c>
      <c r="O96" s="16"/>
    </row>
    <row r="97" s="6" customFormat="1" ht="18" customHeight="1" spans="1:15">
      <c r="A97" s="23">
        <v>5</v>
      </c>
      <c r="B97" s="23"/>
      <c r="C97" s="16" t="s">
        <v>446</v>
      </c>
      <c r="D97" s="40" t="s">
        <v>763</v>
      </c>
      <c r="E97" s="24">
        <v>27.193</v>
      </c>
      <c r="F97" s="40" t="s">
        <v>763</v>
      </c>
      <c r="G97" s="58">
        <v>27.219</v>
      </c>
      <c r="H97" s="16" t="s">
        <v>672</v>
      </c>
      <c r="I97" s="16">
        <v>0.02</v>
      </c>
      <c r="J97" s="146">
        <v>1</v>
      </c>
      <c r="K97" s="146">
        <f t="shared" si="15"/>
        <v>1</v>
      </c>
      <c r="L97" s="178"/>
      <c r="M97" s="178"/>
      <c r="N97" s="16" t="s">
        <v>762</v>
      </c>
      <c r="O97" s="16"/>
    </row>
    <row r="98" s="6" customFormat="1" ht="18" customHeight="1" spans="1:15">
      <c r="A98" s="23">
        <v>6</v>
      </c>
      <c r="B98" s="23"/>
      <c r="C98" s="16" t="s">
        <v>446</v>
      </c>
      <c r="D98" s="40" t="s">
        <v>763</v>
      </c>
      <c r="E98" s="24">
        <v>27.094</v>
      </c>
      <c r="F98" s="40" t="s">
        <v>763</v>
      </c>
      <c r="G98" s="58">
        <v>27.157</v>
      </c>
      <c r="H98" s="16" t="s">
        <v>672</v>
      </c>
      <c r="I98" s="16">
        <v>0.06</v>
      </c>
      <c r="J98" s="146">
        <f>60*150/10000</f>
        <v>1</v>
      </c>
      <c r="K98" s="146">
        <f t="shared" si="15"/>
        <v>1</v>
      </c>
      <c r="L98" s="178"/>
      <c r="M98" s="178"/>
      <c r="N98" s="16" t="s">
        <v>762</v>
      </c>
      <c r="O98" s="16"/>
    </row>
    <row r="99" s="6" customFormat="1" ht="18" customHeight="1" spans="1:15">
      <c r="A99" s="23">
        <v>7</v>
      </c>
      <c r="B99" s="23"/>
      <c r="C99" s="16" t="s">
        <v>446</v>
      </c>
      <c r="D99" s="40" t="s">
        <v>763</v>
      </c>
      <c r="E99" s="24">
        <v>25.955</v>
      </c>
      <c r="F99" s="40" t="s">
        <v>763</v>
      </c>
      <c r="G99" s="58">
        <v>25.995</v>
      </c>
      <c r="H99" s="16" t="s">
        <v>672</v>
      </c>
      <c r="I99" s="16">
        <v>0.04</v>
      </c>
      <c r="J99" s="146">
        <f>40*150/10000</f>
        <v>1</v>
      </c>
      <c r="K99" s="146">
        <f t="shared" si="15"/>
        <v>1</v>
      </c>
      <c r="L99" s="178"/>
      <c r="M99" s="178"/>
      <c r="N99" s="16" t="s">
        <v>762</v>
      </c>
      <c r="O99" s="16"/>
    </row>
    <row r="100" s="6" customFormat="1" ht="18" customHeight="1" spans="1:15">
      <c r="A100" s="23">
        <v>8</v>
      </c>
      <c r="B100" s="23"/>
      <c r="C100" s="16" t="s">
        <v>446</v>
      </c>
      <c r="D100" s="40" t="s">
        <v>763</v>
      </c>
      <c r="E100" s="24">
        <v>25.77</v>
      </c>
      <c r="F100" s="40" t="s">
        <v>763</v>
      </c>
      <c r="G100" s="58">
        <v>25.955</v>
      </c>
      <c r="H100" s="16" t="s">
        <v>672</v>
      </c>
      <c r="I100" s="16">
        <v>0.184</v>
      </c>
      <c r="J100" s="146">
        <f>184*150/10000</f>
        <v>3</v>
      </c>
      <c r="K100" s="146">
        <f t="shared" si="15"/>
        <v>3</v>
      </c>
      <c r="L100" s="178"/>
      <c r="M100" s="178"/>
      <c r="N100" s="16" t="s">
        <v>762</v>
      </c>
      <c r="O100" s="16"/>
    </row>
    <row r="101" s="6" customFormat="1" ht="18" customHeight="1" spans="1:15">
      <c r="A101" s="23">
        <v>9</v>
      </c>
      <c r="B101" s="23"/>
      <c r="C101" s="16" t="s">
        <v>446</v>
      </c>
      <c r="D101" s="40" t="s">
        <v>763</v>
      </c>
      <c r="E101" s="24">
        <v>24.569</v>
      </c>
      <c r="F101" s="40" t="s">
        <v>763</v>
      </c>
      <c r="G101" s="58">
        <v>24.654</v>
      </c>
      <c r="H101" s="16" t="s">
        <v>672</v>
      </c>
      <c r="I101" s="16">
        <v>0.084</v>
      </c>
      <c r="J101" s="146">
        <f>84*150/10000</f>
        <v>1</v>
      </c>
      <c r="K101" s="146">
        <f t="shared" si="15"/>
        <v>1</v>
      </c>
      <c r="L101" s="178"/>
      <c r="M101" s="178"/>
      <c r="N101" s="16" t="s">
        <v>762</v>
      </c>
      <c r="O101" s="16"/>
    </row>
    <row r="102" s="6" customFormat="1" ht="18" customHeight="1" spans="1:15">
      <c r="A102" s="23">
        <v>10</v>
      </c>
      <c r="B102" s="23"/>
      <c r="C102" s="16" t="s">
        <v>446</v>
      </c>
      <c r="D102" s="40" t="s">
        <v>764</v>
      </c>
      <c r="E102" s="24">
        <v>23.208</v>
      </c>
      <c r="F102" s="40" t="s">
        <v>764</v>
      </c>
      <c r="G102" s="58">
        <v>23.256</v>
      </c>
      <c r="H102" s="16" t="s">
        <v>672</v>
      </c>
      <c r="I102" s="16">
        <v>0.048</v>
      </c>
      <c r="J102" s="146">
        <f>48*150/10000</f>
        <v>1</v>
      </c>
      <c r="K102" s="146">
        <f t="shared" si="15"/>
        <v>1</v>
      </c>
      <c r="L102" s="178"/>
      <c r="M102" s="178"/>
      <c r="N102" s="16" t="s">
        <v>762</v>
      </c>
      <c r="O102" s="16"/>
    </row>
    <row r="103" s="6" customFormat="1" ht="18" customHeight="1" spans="1:15">
      <c r="A103" s="23">
        <v>11</v>
      </c>
      <c r="B103" s="23"/>
      <c r="C103" s="16" t="s">
        <v>446</v>
      </c>
      <c r="D103" s="40" t="s">
        <v>764</v>
      </c>
      <c r="E103" s="24">
        <v>22.898</v>
      </c>
      <c r="F103" s="40" t="s">
        <v>764</v>
      </c>
      <c r="G103" s="58">
        <v>23.049</v>
      </c>
      <c r="H103" s="16" t="s">
        <v>672</v>
      </c>
      <c r="I103" s="16">
        <v>0.148</v>
      </c>
      <c r="J103" s="146">
        <f>148*150/10000</f>
        <v>2</v>
      </c>
      <c r="K103" s="146">
        <f t="shared" si="15"/>
        <v>2</v>
      </c>
      <c r="L103" s="178"/>
      <c r="M103" s="178"/>
      <c r="N103" s="16" t="s">
        <v>762</v>
      </c>
      <c r="O103" s="16"/>
    </row>
    <row r="104" s="6" customFormat="1" ht="18" customHeight="1" spans="1:15">
      <c r="A104" s="23">
        <v>12</v>
      </c>
      <c r="B104" s="23"/>
      <c r="C104" s="16" t="s">
        <v>446</v>
      </c>
      <c r="D104" s="40" t="s">
        <v>764</v>
      </c>
      <c r="E104" s="24">
        <v>22.783</v>
      </c>
      <c r="F104" s="40" t="s">
        <v>764</v>
      </c>
      <c r="G104" s="58">
        <v>22.849</v>
      </c>
      <c r="H104" s="16" t="s">
        <v>672</v>
      </c>
      <c r="I104" s="16">
        <v>0.06</v>
      </c>
      <c r="J104" s="146">
        <f>60*150/10000</f>
        <v>1</v>
      </c>
      <c r="K104" s="146">
        <f t="shared" si="15"/>
        <v>1</v>
      </c>
      <c r="L104" s="178"/>
      <c r="M104" s="178"/>
      <c r="N104" s="16" t="s">
        <v>762</v>
      </c>
      <c r="O104" s="16"/>
    </row>
    <row r="105" s="6" customFormat="1" ht="18" customHeight="1" spans="1:15">
      <c r="A105" s="23">
        <v>13</v>
      </c>
      <c r="B105" s="23"/>
      <c r="C105" s="16" t="s">
        <v>446</v>
      </c>
      <c r="D105" s="40" t="s">
        <v>764</v>
      </c>
      <c r="E105" s="24">
        <v>20.089</v>
      </c>
      <c r="F105" s="40" t="s">
        <v>764</v>
      </c>
      <c r="G105" s="58">
        <v>20.143</v>
      </c>
      <c r="H105" s="16" t="s">
        <v>672</v>
      </c>
      <c r="I105" s="16">
        <v>0.052</v>
      </c>
      <c r="J105" s="146">
        <f t="shared" ref="J105:J109" si="16">52*150/10000</f>
        <v>1</v>
      </c>
      <c r="K105" s="146">
        <f t="shared" si="15"/>
        <v>1</v>
      </c>
      <c r="L105" s="178"/>
      <c r="M105" s="178"/>
      <c r="N105" s="16" t="s">
        <v>762</v>
      </c>
      <c r="O105" s="16"/>
    </row>
    <row r="106" s="6" customFormat="1" ht="18" customHeight="1" spans="1:15">
      <c r="A106" s="23">
        <v>14</v>
      </c>
      <c r="B106" s="23"/>
      <c r="C106" s="16" t="s">
        <v>446</v>
      </c>
      <c r="D106" s="40" t="s">
        <v>764</v>
      </c>
      <c r="E106" s="24">
        <v>19.96</v>
      </c>
      <c r="F106" s="40" t="s">
        <v>764</v>
      </c>
      <c r="G106" s="58">
        <v>20.049</v>
      </c>
      <c r="H106" s="16" t="s">
        <v>672</v>
      </c>
      <c r="I106" s="16">
        <v>0.088</v>
      </c>
      <c r="J106" s="146">
        <v>1</v>
      </c>
      <c r="K106" s="146">
        <f t="shared" si="15"/>
        <v>1</v>
      </c>
      <c r="L106" s="178"/>
      <c r="M106" s="178"/>
      <c r="N106" s="16" t="s">
        <v>762</v>
      </c>
      <c r="O106" s="16"/>
    </row>
    <row r="107" s="6" customFormat="1" ht="18" customHeight="1" spans="1:15">
      <c r="A107" s="23">
        <v>15</v>
      </c>
      <c r="B107" s="23"/>
      <c r="C107" s="16" t="s">
        <v>446</v>
      </c>
      <c r="D107" s="40" t="s">
        <v>765</v>
      </c>
      <c r="E107" s="24">
        <v>16.928</v>
      </c>
      <c r="F107" s="40" t="s">
        <v>766</v>
      </c>
      <c r="G107" s="58">
        <v>16.982</v>
      </c>
      <c r="H107" s="16" t="s">
        <v>672</v>
      </c>
      <c r="I107" s="16">
        <v>0.052</v>
      </c>
      <c r="J107" s="146">
        <f t="shared" si="16"/>
        <v>1</v>
      </c>
      <c r="K107" s="146">
        <f t="shared" si="15"/>
        <v>1</v>
      </c>
      <c r="L107" s="178"/>
      <c r="M107" s="178"/>
      <c r="N107" s="16" t="s">
        <v>762</v>
      </c>
      <c r="O107" s="16"/>
    </row>
    <row r="108" s="6" customFormat="1" ht="18" customHeight="1" spans="1:15">
      <c r="A108" s="23">
        <v>16</v>
      </c>
      <c r="B108" s="23"/>
      <c r="C108" s="16" t="s">
        <v>446</v>
      </c>
      <c r="D108" s="40" t="s">
        <v>765</v>
      </c>
      <c r="E108" s="24">
        <v>16.392</v>
      </c>
      <c r="F108" s="40" t="s">
        <v>766</v>
      </c>
      <c r="G108" s="58">
        <v>16.486</v>
      </c>
      <c r="H108" s="16" t="s">
        <v>672</v>
      </c>
      <c r="I108" s="16">
        <v>0.068</v>
      </c>
      <c r="J108" s="146">
        <v>1</v>
      </c>
      <c r="K108" s="146">
        <f t="shared" si="15"/>
        <v>1</v>
      </c>
      <c r="L108" s="178"/>
      <c r="M108" s="178"/>
      <c r="N108" s="16" t="s">
        <v>762</v>
      </c>
      <c r="O108" s="16"/>
    </row>
    <row r="109" s="6" customFormat="1" ht="18" customHeight="1" spans="1:15">
      <c r="A109" s="23">
        <v>17</v>
      </c>
      <c r="B109" s="23"/>
      <c r="C109" s="16" t="s">
        <v>446</v>
      </c>
      <c r="D109" s="40" t="s">
        <v>767</v>
      </c>
      <c r="E109" s="24">
        <v>13.326</v>
      </c>
      <c r="F109" s="40" t="s">
        <v>767</v>
      </c>
      <c r="G109" s="58">
        <v>13.38</v>
      </c>
      <c r="H109" s="16" t="s">
        <v>672</v>
      </c>
      <c r="I109" s="16">
        <v>0.052</v>
      </c>
      <c r="J109" s="146">
        <f t="shared" si="16"/>
        <v>1</v>
      </c>
      <c r="K109" s="146">
        <f t="shared" si="15"/>
        <v>1</v>
      </c>
      <c r="L109" s="178"/>
      <c r="M109" s="178"/>
      <c r="N109" s="16" t="s">
        <v>762</v>
      </c>
      <c r="O109" s="16"/>
    </row>
    <row r="110" s="6" customFormat="1" ht="18" customHeight="1" spans="1:15">
      <c r="A110" s="23">
        <v>18</v>
      </c>
      <c r="B110" s="23"/>
      <c r="C110" s="16" t="s">
        <v>446</v>
      </c>
      <c r="D110" s="40" t="s">
        <v>767</v>
      </c>
      <c r="E110" s="24">
        <v>12.993</v>
      </c>
      <c r="F110" s="40" t="s">
        <v>767</v>
      </c>
      <c r="G110" s="58">
        <v>13.045</v>
      </c>
      <c r="H110" s="16" t="s">
        <v>672</v>
      </c>
      <c r="I110" s="16">
        <v>0.048</v>
      </c>
      <c r="J110" s="146">
        <f>48*150/10000</f>
        <v>1</v>
      </c>
      <c r="K110" s="146">
        <f t="shared" si="15"/>
        <v>1</v>
      </c>
      <c r="L110" s="178"/>
      <c r="M110" s="178"/>
      <c r="N110" s="16" t="s">
        <v>762</v>
      </c>
      <c r="O110" s="16"/>
    </row>
    <row r="111" s="6" customFormat="1" ht="18" customHeight="1" spans="1:15">
      <c r="A111" s="23">
        <v>19</v>
      </c>
      <c r="B111" s="23"/>
      <c r="C111" s="16" t="s">
        <v>446</v>
      </c>
      <c r="D111" s="40" t="s">
        <v>768</v>
      </c>
      <c r="E111" s="24">
        <v>9.619</v>
      </c>
      <c r="F111" s="40" t="s">
        <v>768</v>
      </c>
      <c r="G111" s="58">
        <v>9.731</v>
      </c>
      <c r="H111" s="16" t="s">
        <v>672</v>
      </c>
      <c r="I111" s="16">
        <v>0.104</v>
      </c>
      <c r="J111" s="146">
        <f>104*150/10000</f>
        <v>2</v>
      </c>
      <c r="K111" s="146">
        <f t="shared" si="15"/>
        <v>2</v>
      </c>
      <c r="L111" s="178"/>
      <c r="M111" s="178"/>
      <c r="N111" s="16" t="s">
        <v>762</v>
      </c>
      <c r="O111" s="16"/>
    </row>
    <row r="112" s="6" customFormat="1" ht="18" customHeight="1" spans="1:15">
      <c r="A112" s="23">
        <v>20</v>
      </c>
      <c r="B112" s="23"/>
      <c r="C112" s="16" t="s">
        <v>446</v>
      </c>
      <c r="D112" s="40" t="s">
        <v>768</v>
      </c>
      <c r="E112" s="24">
        <v>9.481</v>
      </c>
      <c r="F112" s="40" t="s">
        <v>768</v>
      </c>
      <c r="G112" s="58">
        <v>9.586</v>
      </c>
      <c r="H112" s="16" t="s">
        <v>672</v>
      </c>
      <c r="I112" s="16">
        <v>0.088</v>
      </c>
      <c r="J112" s="146">
        <f>88*150/10000</f>
        <v>1</v>
      </c>
      <c r="K112" s="146">
        <f t="shared" si="15"/>
        <v>1</v>
      </c>
      <c r="L112" s="178"/>
      <c r="M112" s="178"/>
      <c r="N112" s="16" t="s">
        <v>762</v>
      </c>
      <c r="O112" s="16"/>
    </row>
    <row r="113" s="6" customFormat="1" ht="18" customHeight="1" spans="1:15">
      <c r="A113" s="22">
        <v>21</v>
      </c>
      <c r="B113" s="22"/>
      <c r="C113" s="16" t="s">
        <v>446</v>
      </c>
      <c r="D113" s="40" t="s">
        <v>768</v>
      </c>
      <c r="E113" s="24">
        <v>9.481</v>
      </c>
      <c r="F113" s="40" t="s">
        <v>768</v>
      </c>
      <c r="G113" s="58">
        <v>9.57</v>
      </c>
      <c r="H113" s="16" t="s">
        <v>672</v>
      </c>
      <c r="I113" s="16">
        <v>0.08</v>
      </c>
      <c r="J113" s="146">
        <f>80*150/10000</f>
        <v>1</v>
      </c>
      <c r="K113" s="146">
        <f t="shared" si="15"/>
        <v>1</v>
      </c>
      <c r="L113" s="179"/>
      <c r="M113" s="179"/>
      <c r="N113" s="16" t="s">
        <v>762</v>
      </c>
      <c r="O113" s="16"/>
    </row>
    <row r="114" s="6" customFormat="1" ht="18" customHeight="1" spans="1:15">
      <c r="A114" s="12" t="s">
        <v>80</v>
      </c>
      <c r="B114" s="13"/>
      <c r="C114" s="13"/>
      <c r="D114" s="13"/>
      <c r="E114" s="13"/>
      <c r="F114" s="13"/>
      <c r="G114" s="13"/>
      <c r="H114" s="14"/>
      <c r="I114" s="15">
        <f t="shared" ref="I114:K114" si="17">SUM(I115:I152)</f>
        <v>5.23499999999996</v>
      </c>
      <c r="J114" s="145">
        <f t="shared" si="17"/>
        <v>341</v>
      </c>
      <c r="K114" s="145">
        <f t="shared" si="17"/>
        <v>262</v>
      </c>
      <c r="L114" s="196">
        <f>L115</f>
        <v>79</v>
      </c>
      <c r="M114" s="196"/>
      <c r="N114" s="20"/>
      <c r="O114" s="16"/>
    </row>
    <row r="115" s="6" customFormat="1" ht="20" customHeight="1" spans="1:16">
      <c r="A115" s="20">
        <v>14</v>
      </c>
      <c r="B115" s="20" t="s">
        <v>80</v>
      </c>
      <c r="C115" s="16" t="s">
        <v>769</v>
      </c>
      <c r="D115" s="16" t="s">
        <v>770</v>
      </c>
      <c r="E115" s="16">
        <f>38630/1000</f>
        <v>38.63</v>
      </c>
      <c r="F115" s="16" t="s">
        <v>771</v>
      </c>
      <c r="G115" s="16">
        <v>38.666</v>
      </c>
      <c r="H115" s="16" t="s">
        <v>672</v>
      </c>
      <c r="I115" s="16">
        <f t="shared" ref="I115:I152" si="18">G115-E115</f>
        <v>0.0359999999999943</v>
      </c>
      <c r="J115" s="146">
        <f t="shared" ref="J115:J152" si="19">I115*1000*500*1.3/10000</f>
        <v>2</v>
      </c>
      <c r="K115" s="146">
        <f t="shared" ref="K115:K152" si="20">J115/1.3</f>
        <v>2</v>
      </c>
      <c r="L115" s="20">
        <f>(I115+I116+I117+I118+I119+I120+I121+I122+I123+I124+I125+I126+I127+I128+I129+I130+I131+I132+I133+I134+I135+I136+I137+I138+I139+I140+I141+I142+I143+I144+I145+I146+I147+I148+I149+I150+I151+I152)*15</f>
        <v>78.5249999999995</v>
      </c>
      <c r="M115" s="20">
        <f>(K115+K116+K117+K118+K119+K120+K121+K122+K123+K124+K125+K126+K127+K128+K129+K130+K131+K132+K133+K134+K135+K136+K137+K138+K139+K140+K141+K142+K143+K144+K145+K146+K147+K148+K149+K150+K151+K152)*60%</f>
        <v>157.2</v>
      </c>
      <c r="N115" s="16" t="s">
        <v>762</v>
      </c>
      <c r="O115" s="16"/>
      <c r="P115" s="197"/>
    </row>
    <row r="116" s="6" customFormat="1" ht="20" customHeight="1" spans="1:16">
      <c r="A116" s="23">
        <v>2</v>
      </c>
      <c r="B116" s="23"/>
      <c r="C116" s="16" t="s">
        <v>769</v>
      </c>
      <c r="D116" s="16" t="s">
        <v>770</v>
      </c>
      <c r="E116" s="16">
        <f>38650/1000</f>
        <v>38.65</v>
      </c>
      <c r="F116" s="16" t="s">
        <v>771</v>
      </c>
      <c r="G116" s="16">
        <v>38.846</v>
      </c>
      <c r="H116" s="16" t="s">
        <v>672</v>
      </c>
      <c r="I116" s="16">
        <f t="shared" si="18"/>
        <v>0.195999999999998</v>
      </c>
      <c r="J116" s="146">
        <f t="shared" si="19"/>
        <v>13</v>
      </c>
      <c r="K116" s="146">
        <f t="shared" si="20"/>
        <v>10</v>
      </c>
      <c r="L116" s="23"/>
      <c r="M116" s="23"/>
      <c r="N116" s="16" t="s">
        <v>762</v>
      </c>
      <c r="O116" s="16"/>
      <c r="P116" s="197"/>
    </row>
    <row r="117" s="6" customFormat="1" ht="20" customHeight="1" spans="1:16">
      <c r="A117" s="23">
        <v>3</v>
      </c>
      <c r="B117" s="23"/>
      <c r="C117" s="16" t="s">
        <v>769</v>
      </c>
      <c r="D117" s="16" t="s">
        <v>770</v>
      </c>
      <c r="E117" s="16">
        <f>39112/1000</f>
        <v>39.112</v>
      </c>
      <c r="F117" s="16" t="s">
        <v>771</v>
      </c>
      <c r="G117" s="16">
        <v>39.288</v>
      </c>
      <c r="H117" s="16" t="s">
        <v>672</v>
      </c>
      <c r="I117" s="16">
        <f t="shared" si="18"/>
        <v>0.175999999999995</v>
      </c>
      <c r="J117" s="146">
        <f t="shared" si="19"/>
        <v>11</v>
      </c>
      <c r="K117" s="146">
        <f t="shared" si="20"/>
        <v>8</v>
      </c>
      <c r="L117" s="23"/>
      <c r="M117" s="23"/>
      <c r="N117" s="16" t="s">
        <v>762</v>
      </c>
      <c r="O117" s="16"/>
      <c r="P117" s="197"/>
    </row>
    <row r="118" s="6" customFormat="1" ht="20" customHeight="1" spans="1:16">
      <c r="A118" s="23">
        <v>4</v>
      </c>
      <c r="B118" s="23"/>
      <c r="C118" s="16" t="s">
        <v>769</v>
      </c>
      <c r="D118" s="16" t="s">
        <v>770</v>
      </c>
      <c r="E118" s="16">
        <v>39.53</v>
      </c>
      <c r="F118" s="16" t="s">
        <v>771</v>
      </c>
      <c r="G118" s="16">
        <v>39.734</v>
      </c>
      <c r="H118" s="16" t="s">
        <v>672</v>
      </c>
      <c r="I118" s="16">
        <f t="shared" si="18"/>
        <v>0.204000000000001</v>
      </c>
      <c r="J118" s="146">
        <f t="shared" si="19"/>
        <v>13</v>
      </c>
      <c r="K118" s="146">
        <f t="shared" si="20"/>
        <v>10</v>
      </c>
      <c r="L118" s="23"/>
      <c r="M118" s="23"/>
      <c r="N118" s="16" t="s">
        <v>762</v>
      </c>
      <c r="O118" s="16"/>
      <c r="P118" s="197"/>
    </row>
    <row r="119" s="6" customFormat="1" ht="20" customHeight="1" spans="1:16">
      <c r="A119" s="23">
        <v>5</v>
      </c>
      <c r="B119" s="23"/>
      <c r="C119" s="16" t="s">
        <v>769</v>
      </c>
      <c r="D119" s="16" t="s">
        <v>770</v>
      </c>
      <c r="E119" s="16">
        <v>39.83</v>
      </c>
      <c r="F119" s="16" t="s">
        <v>771</v>
      </c>
      <c r="G119" s="16">
        <v>39.9</v>
      </c>
      <c r="H119" s="16" t="s">
        <v>672</v>
      </c>
      <c r="I119" s="16">
        <f t="shared" si="18"/>
        <v>0.0700000000000003</v>
      </c>
      <c r="J119" s="146">
        <f t="shared" si="19"/>
        <v>5</v>
      </c>
      <c r="K119" s="146">
        <f t="shared" si="20"/>
        <v>4</v>
      </c>
      <c r="L119" s="23"/>
      <c r="M119" s="23"/>
      <c r="N119" s="16" t="s">
        <v>762</v>
      </c>
      <c r="O119" s="16"/>
      <c r="P119" s="197"/>
    </row>
    <row r="120" s="6" customFormat="1" ht="20" customHeight="1" spans="1:16">
      <c r="A120" s="23">
        <v>6</v>
      </c>
      <c r="B120" s="23"/>
      <c r="C120" s="16" t="s">
        <v>769</v>
      </c>
      <c r="D120" s="16" t="s">
        <v>771</v>
      </c>
      <c r="E120" s="16">
        <v>42.435</v>
      </c>
      <c r="F120" s="16" t="s">
        <v>772</v>
      </c>
      <c r="G120" s="16">
        <v>42.544</v>
      </c>
      <c r="H120" s="16" t="s">
        <v>672</v>
      </c>
      <c r="I120" s="16">
        <f t="shared" si="18"/>
        <v>0.108999999999995</v>
      </c>
      <c r="J120" s="146">
        <f t="shared" si="19"/>
        <v>7</v>
      </c>
      <c r="K120" s="146">
        <f t="shared" si="20"/>
        <v>5</v>
      </c>
      <c r="L120" s="23"/>
      <c r="M120" s="23"/>
      <c r="N120" s="16" t="s">
        <v>762</v>
      </c>
      <c r="O120" s="16"/>
      <c r="P120" s="197"/>
    </row>
    <row r="121" s="6" customFormat="1" ht="20" customHeight="1" spans="1:19">
      <c r="A121" s="23">
        <v>7</v>
      </c>
      <c r="B121" s="23"/>
      <c r="C121" s="16" t="s">
        <v>769</v>
      </c>
      <c r="D121" s="16" t="s">
        <v>772</v>
      </c>
      <c r="E121" s="16">
        <v>42.611</v>
      </c>
      <c r="F121" s="16" t="s">
        <v>772</v>
      </c>
      <c r="G121" s="16">
        <v>42.877</v>
      </c>
      <c r="H121" s="16" t="s">
        <v>672</v>
      </c>
      <c r="I121" s="16">
        <f t="shared" si="18"/>
        <v>0.266000000000005</v>
      </c>
      <c r="J121" s="146">
        <f t="shared" si="19"/>
        <v>17</v>
      </c>
      <c r="K121" s="146">
        <f t="shared" si="20"/>
        <v>13</v>
      </c>
      <c r="L121" s="23"/>
      <c r="M121" s="23"/>
      <c r="N121" s="16" t="s">
        <v>762</v>
      </c>
      <c r="O121" s="16"/>
      <c r="P121" s="197"/>
      <c r="S121" s="198"/>
    </row>
    <row r="122" s="6" customFormat="1" ht="20" customHeight="1" spans="1:16">
      <c r="A122" s="23">
        <v>8</v>
      </c>
      <c r="B122" s="23"/>
      <c r="C122" s="16" t="s">
        <v>769</v>
      </c>
      <c r="D122" s="16" t="s">
        <v>772</v>
      </c>
      <c r="E122" s="16">
        <v>44.19</v>
      </c>
      <c r="F122" s="16" t="s">
        <v>772</v>
      </c>
      <c r="G122" s="16">
        <v>44.508</v>
      </c>
      <c r="H122" s="16" t="s">
        <v>672</v>
      </c>
      <c r="I122" s="16">
        <f t="shared" si="18"/>
        <v>0.318000000000005</v>
      </c>
      <c r="J122" s="146">
        <f t="shared" si="19"/>
        <v>21</v>
      </c>
      <c r="K122" s="146">
        <f t="shared" si="20"/>
        <v>16</v>
      </c>
      <c r="L122" s="23"/>
      <c r="M122" s="23"/>
      <c r="N122" s="16" t="s">
        <v>762</v>
      </c>
      <c r="O122" s="16"/>
      <c r="P122" s="197"/>
    </row>
    <row r="123" s="6" customFormat="1" ht="20" customHeight="1" spans="1:16">
      <c r="A123" s="23">
        <v>9</v>
      </c>
      <c r="B123" s="23"/>
      <c r="C123" s="16" t="s">
        <v>769</v>
      </c>
      <c r="D123" s="16" t="s">
        <v>772</v>
      </c>
      <c r="E123" s="16">
        <v>44.68</v>
      </c>
      <c r="F123" s="16" t="s">
        <v>772</v>
      </c>
      <c r="G123" s="16">
        <v>44.768</v>
      </c>
      <c r="H123" s="16" t="s">
        <v>672</v>
      </c>
      <c r="I123" s="16">
        <f t="shared" si="18"/>
        <v>0.088000000000001</v>
      </c>
      <c r="J123" s="146">
        <f t="shared" si="19"/>
        <v>6</v>
      </c>
      <c r="K123" s="146">
        <f t="shared" si="20"/>
        <v>5</v>
      </c>
      <c r="L123" s="23"/>
      <c r="M123" s="23"/>
      <c r="N123" s="16" t="s">
        <v>762</v>
      </c>
      <c r="O123" s="16"/>
      <c r="P123" s="197"/>
    </row>
    <row r="124" s="6" customFormat="1" ht="20" customHeight="1" spans="1:19">
      <c r="A124" s="23">
        <v>10</v>
      </c>
      <c r="B124" s="23"/>
      <c r="C124" s="16" t="s">
        <v>769</v>
      </c>
      <c r="D124" s="16" t="s">
        <v>772</v>
      </c>
      <c r="E124" s="16">
        <v>45.704</v>
      </c>
      <c r="F124" s="16" t="s">
        <v>772</v>
      </c>
      <c r="G124" s="16">
        <v>45.835</v>
      </c>
      <c r="H124" s="16" t="s">
        <v>672</v>
      </c>
      <c r="I124" s="16">
        <f t="shared" si="18"/>
        <v>0.131</v>
      </c>
      <c r="J124" s="146">
        <f t="shared" si="19"/>
        <v>9</v>
      </c>
      <c r="K124" s="146">
        <f t="shared" si="20"/>
        <v>7</v>
      </c>
      <c r="L124" s="23"/>
      <c r="M124" s="23"/>
      <c r="N124" s="16" t="s">
        <v>762</v>
      </c>
      <c r="O124" s="16"/>
      <c r="P124" s="197"/>
      <c r="S124" s="198"/>
    </row>
    <row r="125" s="6" customFormat="1" ht="20" customHeight="1" spans="1:16">
      <c r="A125" s="23">
        <v>11</v>
      </c>
      <c r="B125" s="23"/>
      <c r="C125" s="16" t="s">
        <v>769</v>
      </c>
      <c r="D125" s="16" t="s">
        <v>772</v>
      </c>
      <c r="E125" s="16">
        <v>46.188</v>
      </c>
      <c r="F125" s="16" t="s">
        <v>772</v>
      </c>
      <c r="G125" s="16">
        <v>46.43</v>
      </c>
      <c r="H125" s="16" t="s">
        <v>672</v>
      </c>
      <c r="I125" s="16">
        <f t="shared" si="18"/>
        <v>0.241999999999997</v>
      </c>
      <c r="J125" s="146">
        <f t="shared" si="19"/>
        <v>16</v>
      </c>
      <c r="K125" s="146">
        <f t="shared" si="20"/>
        <v>12</v>
      </c>
      <c r="L125" s="23"/>
      <c r="M125" s="23"/>
      <c r="N125" s="16" t="s">
        <v>762</v>
      </c>
      <c r="O125" s="16"/>
      <c r="P125" s="197"/>
    </row>
    <row r="126" s="6" customFormat="1" ht="20" customHeight="1" spans="1:16">
      <c r="A126" s="23">
        <v>12</v>
      </c>
      <c r="B126" s="23"/>
      <c r="C126" s="16" t="s">
        <v>769</v>
      </c>
      <c r="D126" s="16" t="s">
        <v>772</v>
      </c>
      <c r="E126" s="16">
        <v>46.49</v>
      </c>
      <c r="F126" s="16" t="s">
        <v>772</v>
      </c>
      <c r="G126" s="16">
        <v>46.53</v>
      </c>
      <c r="H126" s="16" t="s">
        <v>672</v>
      </c>
      <c r="I126" s="16">
        <f t="shared" si="18"/>
        <v>0.0399999999999992</v>
      </c>
      <c r="J126" s="146">
        <f t="shared" si="19"/>
        <v>3</v>
      </c>
      <c r="K126" s="146">
        <f t="shared" si="20"/>
        <v>2</v>
      </c>
      <c r="L126" s="23"/>
      <c r="M126" s="23"/>
      <c r="N126" s="16" t="s">
        <v>762</v>
      </c>
      <c r="O126" s="16"/>
      <c r="P126" s="197"/>
    </row>
    <row r="127" s="170" customFormat="1" ht="20" customHeight="1" spans="1:19">
      <c r="A127" s="23">
        <v>13</v>
      </c>
      <c r="B127" s="23"/>
      <c r="C127" s="16" t="s">
        <v>769</v>
      </c>
      <c r="D127" s="16" t="s">
        <v>772</v>
      </c>
      <c r="E127" s="16">
        <v>46.55</v>
      </c>
      <c r="F127" s="16" t="s">
        <v>772</v>
      </c>
      <c r="G127" s="16">
        <v>46.83</v>
      </c>
      <c r="H127" s="16" t="s">
        <v>672</v>
      </c>
      <c r="I127" s="16">
        <f t="shared" si="18"/>
        <v>0.280000000000001</v>
      </c>
      <c r="J127" s="146">
        <f t="shared" si="19"/>
        <v>18</v>
      </c>
      <c r="K127" s="146">
        <f t="shared" si="20"/>
        <v>14</v>
      </c>
      <c r="L127" s="23"/>
      <c r="M127" s="23"/>
      <c r="N127" s="16" t="s">
        <v>762</v>
      </c>
      <c r="O127" s="16"/>
      <c r="P127" s="6"/>
      <c r="Q127" s="6"/>
      <c r="S127" s="6"/>
    </row>
    <row r="128" s="170" customFormat="1" ht="20" customHeight="1" spans="1:19">
      <c r="A128" s="23">
        <v>14</v>
      </c>
      <c r="B128" s="23"/>
      <c r="C128" s="16" t="s">
        <v>769</v>
      </c>
      <c r="D128" s="16" t="s">
        <v>772</v>
      </c>
      <c r="E128" s="16">
        <v>46.85</v>
      </c>
      <c r="F128" s="16" t="s">
        <v>772</v>
      </c>
      <c r="G128" s="16">
        <v>47.15</v>
      </c>
      <c r="H128" s="16" t="s">
        <v>672</v>
      </c>
      <c r="I128" s="16">
        <f t="shared" si="18"/>
        <v>0.299999999999997</v>
      </c>
      <c r="J128" s="146">
        <f t="shared" si="19"/>
        <v>19</v>
      </c>
      <c r="K128" s="146">
        <f t="shared" si="20"/>
        <v>15</v>
      </c>
      <c r="L128" s="23"/>
      <c r="M128" s="23"/>
      <c r="N128" s="16" t="s">
        <v>762</v>
      </c>
      <c r="O128" s="16"/>
      <c r="P128" s="6"/>
      <c r="Q128" s="6"/>
      <c r="S128" s="6"/>
    </row>
    <row r="129" s="170" customFormat="1" ht="20" customHeight="1" spans="1:19">
      <c r="A129" s="23">
        <v>15</v>
      </c>
      <c r="B129" s="23"/>
      <c r="C129" s="16" t="s">
        <v>769</v>
      </c>
      <c r="D129" s="16" t="s">
        <v>773</v>
      </c>
      <c r="E129" s="16">
        <v>56.29</v>
      </c>
      <c r="F129" s="16" t="s">
        <v>773</v>
      </c>
      <c r="G129" s="16">
        <v>56.59</v>
      </c>
      <c r="H129" s="16" t="s">
        <v>672</v>
      </c>
      <c r="I129" s="16">
        <f t="shared" si="18"/>
        <v>0.300000000000004</v>
      </c>
      <c r="J129" s="146">
        <f t="shared" si="19"/>
        <v>20</v>
      </c>
      <c r="K129" s="146">
        <f t="shared" si="20"/>
        <v>15</v>
      </c>
      <c r="L129" s="23"/>
      <c r="M129" s="23"/>
      <c r="N129" s="16" t="s">
        <v>762</v>
      </c>
      <c r="O129" s="16"/>
      <c r="P129" s="6"/>
      <c r="Q129" s="6"/>
      <c r="S129" s="6"/>
    </row>
    <row r="130" s="170" customFormat="1" ht="20" customHeight="1" spans="1:19">
      <c r="A130" s="23">
        <v>16</v>
      </c>
      <c r="B130" s="23"/>
      <c r="C130" s="16" t="s">
        <v>769</v>
      </c>
      <c r="D130" s="16" t="s">
        <v>773</v>
      </c>
      <c r="E130" s="16">
        <v>56.608</v>
      </c>
      <c r="F130" s="16" t="s">
        <v>773</v>
      </c>
      <c r="G130" s="16">
        <v>56.65</v>
      </c>
      <c r="H130" s="16" t="s">
        <v>672</v>
      </c>
      <c r="I130" s="16">
        <f t="shared" si="18"/>
        <v>0.0420000000000016</v>
      </c>
      <c r="J130" s="146">
        <f t="shared" si="19"/>
        <v>3</v>
      </c>
      <c r="K130" s="146">
        <f t="shared" si="20"/>
        <v>2</v>
      </c>
      <c r="L130" s="23"/>
      <c r="M130" s="23"/>
      <c r="N130" s="16" t="s">
        <v>762</v>
      </c>
      <c r="O130" s="16"/>
      <c r="P130" s="6"/>
      <c r="Q130" s="6"/>
      <c r="S130" s="6"/>
    </row>
    <row r="131" s="170" customFormat="1" ht="20" customHeight="1" spans="1:19">
      <c r="A131" s="23">
        <v>17</v>
      </c>
      <c r="B131" s="23"/>
      <c r="C131" s="16" t="s">
        <v>769</v>
      </c>
      <c r="D131" s="16" t="s">
        <v>773</v>
      </c>
      <c r="E131" s="16">
        <v>56.69</v>
      </c>
      <c r="F131" s="16" t="s">
        <v>773</v>
      </c>
      <c r="G131" s="16">
        <v>56.8</v>
      </c>
      <c r="H131" s="16" t="s">
        <v>672</v>
      </c>
      <c r="I131" s="16">
        <f t="shared" si="18"/>
        <v>0.109999999999999</v>
      </c>
      <c r="J131" s="146">
        <f t="shared" si="19"/>
        <v>7</v>
      </c>
      <c r="K131" s="146">
        <f t="shared" si="20"/>
        <v>5</v>
      </c>
      <c r="L131" s="23"/>
      <c r="M131" s="23"/>
      <c r="N131" s="16" t="s">
        <v>762</v>
      </c>
      <c r="O131" s="16"/>
      <c r="P131" s="6"/>
      <c r="Q131" s="6"/>
      <c r="S131" s="6"/>
    </row>
    <row r="132" s="170" customFormat="1" ht="20" customHeight="1" spans="1:19">
      <c r="A132" s="23">
        <v>18</v>
      </c>
      <c r="B132" s="23"/>
      <c r="C132" s="16" t="s">
        <v>769</v>
      </c>
      <c r="D132" s="16" t="s">
        <v>773</v>
      </c>
      <c r="E132" s="16">
        <v>56.816</v>
      </c>
      <c r="F132" s="16" t="s">
        <v>773</v>
      </c>
      <c r="G132" s="16">
        <v>56.9</v>
      </c>
      <c r="H132" s="16" t="s">
        <v>672</v>
      </c>
      <c r="I132" s="16">
        <f t="shared" si="18"/>
        <v>0.0839999999999961</v>
      </c>
      <c r="J132" s="146">
        <f t="shared" si="19"/>
        <v>5</v>
      </c>
      <c r="K132" s="146">
        <f t="shared" si="20"/>
        <v>4</v>
      </c>
      <c r="L132" s="23"/>
      <c r="M132" s="23"/>
      <c r="N132" s="16" t="s">
        <v>762</v>
      </c>
      <c r="O132" s="16"/>
      <c r="P132" s="6"/>
      <c r="Q132" s="6"/>
      <c r="S132" s="6"/>
    </row>
    <row r="133" s="170" customFormat="1" ht="20" customHeight="1" spans="1:19">
      <c r="A133" s="23">
        <v>19</v>
      </c>
      <c r="B133" s="23"/>
      <c r="C133" s="16" t="s">
        <v>769</v>
      </c>
      <c r="D133" s="16" t="s">
        <v>773</v>
      </c>
      <c r="E133" s="16">
        <v>56.9</v>
      </c>
      <c r="F133" s="16" t="s">
        <v>773</v>
      </c>
      <c r="G133" s="16">
        <v>56.924</v>
      </c>
      <c r="H133" s="16" t="s">
        <v>672</v>
      </c>
      <c r="I133" s="16">
        <f t="shared" si="18"/>
        <v>0.0240000000000009</v>
      </c>
      <c r="J133" s="146">
        <f t="shared" si="19"/>
        <v>2</v>
      </c>
      <c r="K133" s="146">
        <f t="shared" si="20"/>
        <v>2</v>
      </c>
      <c r="L133" s="23"/>
      <c r="M133" s="23"/>
      <c r="N133" s="16" t="s">
        <v>762</v>
      </c>
      <c r="O133" s="16"/>
      <c r="P133" s="6"/>
      <c r="Q133" s="6"/>
      <c r="S133" s="6"/>
    </row>
    <row r="134" s="170" customFormat="1" ht="20" customHeight="1" spans="1:19">
      <c r="A134" s="23">
        <v>20</v>
      </c>
      <c r="B134" s="23"/>
      <c r="C134" s="16" t="s">
        <v>769</v>
      </c>
      <c r="D134" s="16" t="s">
        <v>773</v>
      </c>
      <c r="E134" s="16">
        <v>57.36</v>
      </c>
      <c r="F134" s="16" t="s">
        <v>773</v>
      </c>
      <c r="G134" s="16">
        <v>57.42</v>
      </c>
      <c r="H134" s="16" t="s">
        <v>672</v>
      </c>
      <c r="I134" s="16">
        <f t="shared" si="18"/>
        <v>0.0600000000000023</v>
      </c>
      <c r="J134" s="146">
        <f t="shared" si="19"/>
        <v>4</v>
      </c>
      <c r="K134" s="146">
        <f t="shared" si="20"/>
        <v>3</v>
      </c>
      <c r="L134" s="23"/>
      <c r="M134" s="23"/>
      <c r="N134" s="16" t="s">
        <v>762</v>
      </c>
      <c r="O134" s="16"/>
      <c r="P134" s="6"/>
      <c r="Q134" s="6"/>
      <c r="S134" s="6"/>
    </row>
    <row r="135" s="170" customFormat="1" ht="20" customHeight="1" spans="1:19">
      <c r="A135" s="23">
        <v>21</v>
      </c>
      <c r="B135" s="23"/>
      <c r="C135" s="16" t="s">
        <v>769</v>
      </c>
      <c r="D135" s="16" t="s">
        <v>773</v>
      </c>
      <c r="E135" s="16">
        <v>57.59</v>
      </c>
      <c r="F135" s="16" t="s">
        <v>773</v>
      </c>
      <c r="G135" s="16">
        <v>57.7</v>
      </c>
      <c r="H135" s="16" t="s">
        <v>672</v>
      </c>
      <c r="I135" s="16">
        <f t="shared" si="18"/>
        <v>0.109999999999999</v>
      </c>
      <c r="J135" s="146">
        <f t="shared" si="19"/>
        <v>7</v>
      </c>
      <c r="K135" s="146">
        <f t="shared" si="20"/>
        <v>5</v>
      </c>
      <c r="L135" s="23"/>
      <c r="M135" s="23"/>
      <c r="N135" s="16" t="s">
        <v>762</v>
      </c>
      <c r="O135" s="16"/>
      <c r="P135" s="6"/>
      <c r="Q135" s="6"/>
      <c r="S135" s="6"/>
    </row>
    <row r="136" s="170" customFormat="1" ht="20" customHeight="1" spans="1:19">
      <c r="A136" s="23">
        <v>22</v>
      </c>
      <c r="B136" s="23"/>
      <c r="C136" s="16" t="s">
        <v>769</v>
      </c>
      <c r="D136" s="16" t="s">
        <v>774</v>
      </c>
      <c r="E136" s="16">
        <v>58.39</v>
      </c>
      <c r="F136" s="16" t="s">
        <v>774</v>
      </c>
      <c r="G136" s="16">
        <v>58.48</v>
      </c>
      <c r="H136" s="16" t="s">
        <v>672</v>
      </c>
      <c r="I136" s="16">
        <f t="shared" si="18"/>
        <v>0.0899999999999963</v>
      </c>
      <c r="J136" s="146">
        <f t="shared" si="19"/>
        <v>6</v>
      </c>
      <c r="K136" s="146">
        <f t="shared" si="20"/>
        <v>5</v>
      </c>
      <c r="L136" s="23"/>
      <c r="M136" s="23"/>
      <c r="N136" s="16" t="s">
        <v>762</v>
      </c>
      <c r="O136" s="16"/>
      <c r="P136" s="6"/>
      <c r="Q136" s="6"/>
      <c r="S136" s="6"/>
    </row>
    <row r="137" s="170" customFormat="1" ht="20" customHeight="1" spans="1:19">
      <c r="A137" s="23">
        <v>23</v>
      </c>
      <c r="B137" s="23"/>
      <c r="C137" s="16" t="s">
        <v>769</v>
      </c>
      <c r="D137" s="16" t="s">
        <v>774</v>
      </c>
      <c r="E137" s="16">
        <v>59.225</v>
      </c>
      <c r="F137" s="16" t="s">
        <v>774</v>
      </c>
      <c r="G137" s="16">
        <v>59.32</v>
      </c>
      <c r="H137" s="16" t="s">
        <v>672</v>
      </c>
      <c r="I137" s="16">
        <f t="shared" si="18"/>
        <v>0.0949999999999989</v>
      </c>
      <c r="J137" s="146">
        <f t="shared" si="19"/>
        <v>6</v>
      </c>
      <c r="K137" s="146">
        <f t="shared" si="20"/>
        <v>5</v>
      </c>
      <c r="L137" s="23"/>
      <c r="M137" s="23"/>
      <c r="N137" s="16" t="s">
        <v>762</v>
      </c>
      <c r="O137" s="16"/>
      <c r="P137" s="6"/>
      <c r="Q137" s="6"/>
      <c r="S137" s="6"/>
    </row>
    <row r="138" s="170" customFormat="1" ht="20" customHeight="1" spans="1:19">
      <c r="A138" s="23">
        <v>24</v>
      </c>
      <c r="B138" s="23"/>
      <c r="C138" s="16" t="s">
        <v>769</v>
      </c>
      <c r="D138" s="16" t="s">
        <v>774</v>
      </c>
      <c r="E138" s="16">
        <v>61.1</v>
      </c>
      <c r="F138" s="16" t="s">
        <v>774</v>
      </c>
      <c r="G138" s="16">
        <v>61.5</v>
      </c>
      <c r="H138" s="16" t="s">
        <v>672</v>
      </c>
      <c r="I138" s="16">
        <f t="shared" si="18"/>
        <v>0.399999999999999</v>
      </c>
      <c r="J138" s="146">
        <f t="shared" si="19"/>
        <v>26</v>
      </c>
      <c r="K138" s="146">
        <f t="shared" si="20"/>
        <v>20</v>
      </c>
      <c r="L138" s="23"/>
      <c r="M138" s="23"/>
      <c r="N138" s="16" t="s">
        <v>762</v>
      </c>
      <c r="O138" s="16"/>
      <c r="P138" s="6"/>
      <c r="Q138" s="6"/>
      <c r="S138" s="6"/>
    </row>
    <row r="139" s="170" customFormat="1" ht="20" customHeight="1" spans="1:19">
      <c r="A139" s="23">
        <v>25</v>
      </c>
      <c r="B139" s="23"/>
      <c r="C139" s="16" t="s">
        <v>769</v>
      </c>
      <c r="D139" s="16" t="s">
        <v>774</v>
      </c>
      <c r="E139" s="16">
        <v>61.7</v>
      </c>
      <c r="F139" s="16" t="s">
        <v>774</v>
      </c>
      <c r="G139" s="16">
        <v>61.83</v>
      </c>
      <c r="H139" s="16" t="s">
        <v>672</v>
      </c>
      <c r="I139" s="16">
        <f t="shared" si="18"/>
        <v>0.129999999999995</v>
      </c>
      <c r="J139" s="146">
        <f t="shared" si="19"/>
        <v>8</v>
      </c>
      <c r="K139" s="146">
        <f t="shared" si="20"/>
        <v>6</v>
      </c>
      <c r="L139" s="23"/>
      <c r="M139" s="23"/>
      <c r="N139" s="16" t="s">
        <v>762</v>
      </c>
      <c r="O139" s="16"/>
      <c r="P139" s="6"/>
      <c r="Q139" s="6"/>
      <c r="S139" s="6"/>
    </row>
    <row r="140" s="170" customFormat="1" ht="20" customHeight="1" spans="1:19">
      <c r="A140" s="23">
        <v>26</v>
      </c>
      <c r="B140" s="23"/>
      <c r="C140" s="16" t="s">
        <v>769</v>
      </c>
      <c r="D140" s="16" t="s">
        <v>774</v>
      </c>
      <c r="E140" s="16">
        <v>61.85</v>
      </c>
      <c r="F140" s="16" t="s">
        <v>774</v>
      </c>
      <c r="G140" s="16">
        <v>61.91</v>
      </c>
      <c r="H140" s="16" t="s">
        <v>672</v>
      </c>
      <c r="I140" s="16">
        <f t="shared" si="18"/>
        <v>0.0599999999999952</v>
      </c>
      <c r="J140" s="146">
        <f t="shared" si="19"/>
        <v>4</v>
      </c>
      <c r="K140" s="146">
        <f t="shared" si="20"/>
        <v>3</v>
      </c>
      <c r="L140" s="23"/>
      <c r="M140" s="23"/>
      <c r="N140" s="16" t="s">
        <v>762</v>
      </c>
      <c r="O140" s="16"/>
      <c r="P140" s="6"/>
      <c r="Q140" s="6"/>
      <c r="S140" s="6"/>
    </row>
    <row r="141" s="170" customFormat="1" ht="20" customHeight="1" spans="1:19">
      <c r="A141" s="23">
        <v>27</v>
      </c>
      <c r="B141" s="23"/>
      <c r="C141" s="16" t="s">
        <v>769</v>
      </c>
      <c r="D141" s="16" t="s">
        <v>774</v>
      </c>
      <c r="E141" s="16">
        <v>62.015</v>
      </c>
      <c r="F141" s="16" t="s">
        <v>774</v>
      </c>
      <c r="G141" s="16">
        <v>62.035</v>
      </c>
      <c r="H141" s="16" t="s">
        <v>672</v>
      </c>
      <c r="I141" s="16">
        <f t="shared" si="18"/>
        <v>0.019999999999996</v>
      </c>
      <c r="J141" s="146">
        <f t="shared" si="19"/>
        <v>1</v>
      </c>
      <c r="K141" s="146">
        <f t="shared" si="20"/>
        <v>1</v>
      </c>
      <c r="L141" s="23"/>
      <c r="M141" s="23"/>
      <c r="N141" s="16" t="s">
        <v>762</v>
      </c>
      <c r="O141" s="16"/>
      <c r="P141" s="6"/>
      <c r="Q141" s="6"/>
      <c r="S141" s="6"/>
    </row>
    <row r="142" s="170" customFormat="1" ht="20" customHeight="1" spans="1:19">
      <c r="A142" s="23">
        <v>28</v>
      </c>
      <c r="B142" s="23"/>
      <c r="C142" s="16" t="s">
        <v>769</v>
      </c>
      <c r="D142" s="16" t="s">
        <v>774</v>
      </c>
      <c r="E142" s="16">
        <v>62.092</v>
      </c>
      <c r="F142" s="16" t="s">
        <v>774</v>
      </c>
      <c r="G142" s="16">
        <v>62.15</v>
      </c>
      <c r="H142" s="16" t="s">
        <v>672</v>
      </c>
      <c r="I142" s="16">
        <f t="shared" si="18"/>
        <v>0.0579999999999998</v>
      </c>
      <c r="J142" s="146">
        <f t="shared" si="19"/>
        <v>4</v>
      </c>
      <c r="K142" s="146">
        <f t="shared" si="20"/>
        <v>3</v>
      </c>
      <c r="L142" s="23"/>
      <c r="M142" s="23"/>
      <c r="N142" s="16" t="s">
        <v>762</v>
      </c>
      <c r="O142" s="16"/>
      <c r="P142" s="6"/>
      <c r="Q142" s="6"/>
      <c r="S142" s="6"/>
    </row>
    <row r="143" s="170" customFormat="1" ht="20" customHeight="1" spans="1:19">
      <c r="A143" s="23">
        <v>29</v>
      </c>
      <c r="B143" s="23"/>
      <c r="C143" s="16" t="s">
        <v>769</v>
      </c>
      <c r="D143" s="16" t="s">
        <v>774</v>
      </c>
      <c r="E143" s="16">
        <v>62.19</v>
      </c>
      <c r="F143" s="16" t="s">
        <v>774</v>
      </c>
      <c r="G143" s="16">
        <v>62.23</v>
      </c>
      <c r="H143" s="16" t="s">
        <v>672</v>
      </c>
      <c r="I143" s="16">
        <f t="shared" si="18"/>
        <v>0.0399999999999992</v>
      </c>
      <c r="J143" s="146">
        <f t="shared" si="19"/>
        <v>3</v>
      </c>
      <c r="K143" s="146">
        <f t="shared" si="20"/>
        <v>2</v>
      </c>
      <c r="L143" s="23"/>
      <c r="M143" s="23"/>
      <c r="N143" s="16" t="s">
        <v>762</v>
      </c>
      <c r="O143" s="16"/>
      <c r="P143" s="6"/>
      <c r="Q143" s="6"/>
      <c r="S143" s="6"/>
    </row>
    <row r="144" s="170" customFormat="1" ht="20" customHeight="1" spans="1:19">
      <c r="A144" s="23">
        <v>30</v>
      </c>
      <c r="B144" s="23"/>
      <c r="C144" s="16" t="s">
        <v>769</v>
      </c>
      <c r="D144" s="16" t="s">
        <v>774</v>
      </c>
      <c r="E144" s="16">
        <v>62.234</v>
      </c>
      <c r="F144" s="16" t="s">
        <v>774</v>
      </c>
      <c r="G144" s="16">
        <v>62.254</v>
      </c>
      <c r="H144" s="16" t="s">
        <v>672</v>
      </c>
      <c r="I144" s="16">
        <f t="shared" si="18"/>
        <v>0.019999999999996</v>
      </c>
      <c r="J144" s="146">
        <f t="shared" si="19"/>
        <v>1</v>
      </c>
      <c r="K144" s="146">
        <f t="shared" si="20"/>
        <v>1</v>
      </c>
      <c r="L144" s="23"/>
      <c r="M144" s="23"/>
      <c r="N144" s="16" t="s">
        <v>762</v>
      </c>
      <c r="O144" s="16"/>
      <c r="P144" s="6"/>
      <c r="Q144" s="6"/>
      <c r="S144" s="6"/>
    </row>
    <row r="145" s="170" customFormat="1" ht="20" customHeight="1" spans="1:19">
      <c r="A145" s="23">
        <v>31</v>
      </c>
      <c r="B145" s="23"/>
      <c r="C145" s="16" t="s">
        <v>769</v>
      </c>
      <c r="D145" s="16" t="s">
        <v>774</v>
      </c>
      <c r="E145" s="16">
        <v>62.3</v>
      </c>
      <c r="F145" s="16" t="s">
        <v>774</v>
      </c>
      <c r="G145" s="16">
        <v>62.324</v>
      </c>
      <c r="H145" s="16" t="s">
        <v>672</v>
      </c>
      <c r="I145" s="16">
        <f t="shared" si="18"/>
        <v>0.0240000000000009</v>
      </c>
      <c r="J145" s="146">
        <f t="shared" si="19"/>
        <v>2</v>
      </c>
      <c r="K145" s="146">
        <f t="shared" si="20"/>
        <v>2</v>
      </c>
      <c r="L145" s="23"/>
      <c r="M145" s="23"/>
      <c r="N145" s="16" t="s">
        <v>762</v>
      </c>
      <c r="O145" s="16"/>
      <c r="P145" s="6"/>
      <c r="Q145" s="6"/>
      <c r="S145" s="6"/>
    </row>
    <row r="146" s="170" customFormat="1" ht="20" customHeight="1" spans="1:19">
      <c r="A146" s="23">
        <v>32</v>
      </c>
      <c r="B146" s="23"/>
      <c r="C146" s="16" t="s">
        <v>769</v>
      </c>
      <c r="D146" s="16" t="s">
        <v>774</v>
      </c>
      <c r="E146" s="16">
        <v>62.41</v>
      </c>
      <c r="F146" s="16" t="s">
        <v>774</v>
      </c>
      <c r="G146" s="16">
        <v>62.418</v>
      </c>
      <c r="H146" s="16" t="s">
        <v>672</v>
      </c>
      <c r="I146" s="16">
        <f t="shared" si="18"/>
        <v>0.00800000000000267</v>
      </c>
      <c r="J146" s="146">
        <f t="shared" si="19"/>
        <v>1</v>
      </c>
      <c r="K146" s="146">
        <f t="shared" si="20"/>
        <v>1</v>
      </c>
      <c r="L146" s="23"/>
      <c r="M146" s="23"/>
      <c r="N146" s="16" t="s">
        <v>762</v>
      </c>
      <c r="O146" s="16"/>
      <c r="P146" s="6"/>
      <c r="Q146" s="6"/>
      <c r="S146" s="6"/>
    </row>
    <row r="147" s="170" customFormat="1" ht="20" customHeight="1" spans="1:19">
      <c r="A147" s="23">
        <v>33</v>
      </c>
      <c r="B147" s="23"/>
      <c r="C147" s="16" t="s">
        <v>769</v>
      </c>
      <c r="D147" s="16" t="s">
        <v>774</v>
      </c>
      <c r="E147" s="16">
        <v>62.45</v>
      </c>
      <c r="F147" s="16" t="s">
        <v>774</v>
      </c>
      <c r="G147" s="16">
        <v>62.7</v>
      </c>
      <c r="H147" s="16" t="s">
        <v>672</v>
      </c>
      <c r="I147" s="16">
        <f t="shared" si="18"/>
        <v>0.25</v>
      </c>
      <c r="J147" s="146">
        <f t="shared" si="19"/>
        <v>16</v>
      </c>
      <c r="K147" s="146">
        <f t="shared" si="20"/>
        <v>12</v>
      </c>
      <c r="L147" s="23"/>
      <c r="M147" s="23"/>
      <c r="N147" s="16" t="s">
        <v>762</v>
      </c>
      <c r="O147" s="16"/>
      <c r="P147" s="6"/>
      <c r="Q147" s="6"/>
      <c r="S147" s="6"/>
    </row>
    <row r="148" s="170" customFormat="1" ht="20" customHeight="1" spans="1:19">
      <c r="A148" s="23">
        <v>34</v>
      </c>
      <c r="B148" s="23"/>
      <c r="C148" s="16" t="s">
        <v>769</v>
      </c>
      <c r="D148" s="16" t="s">
        <v>774</v>
      </c>
      <c r="E148" s="16">
        <v>62.79</v>
      </c>
      <c r="F148" s="16" t="s">
        <v>774</v>
      </c>
      <c r="G148" s="16">
        <v>63</v>
      </c>
      <c r="H148" s="16" t="s">
        <v>672</v>
      </c>
      <c r="I148" s="16">
        <f t="shared" si="18"/>
        <v>0.210000000000001</v>
      </c>
      <c r="J148" s="146">
        <f t="shared" si="19"/>
        <v>14</v>
      </c>
      <c r="K148" s="146">
        <f t="shared" si="20"/>
        <v>11</v>
      </c>
      <c r="L148" s="23"/>
      <c r="M148" s="23"/>
      <c r="N148" s="16" t="s">
        <v>762</v>
      </c>
      <c r="O148" s="16"/>
      <c r="P148" s="6"/>
      <c r="Q148" s="6"/>
      <c r="S148" s="6"/>
    </row>
    <row r="149" s="170" customFormat="1" ht="20" customHeight="1" spans="1:19">
      <c r="A149" s="23">
        <v>35</v>
      </c>
      <c r="B149" s="23"/>
      <c r="C149" s="16" t="s">
        <v>769</v>
      </c>
      <c r="D149" s="16" t="s">
        <v>774</v>
      </c>
      <c r="E149" s="16">
        <v>63.01</v>
      </c>
      <c r="F149" s="16" t="s">
        <v>774</v>
      </c>
      <c r="G149" s="16">
        <v>63.312</v>
      </c>
      <c r="H149" s="16" t="s">
        <v>672</v>
      </c>
      <c r="I149" s="16">
        <f t="shared" si="18"/>
        <v>0.302</v>
      </c>
      <c r="J149" s="146">
        <f t="shared" si="19"/>
        <v>20</v>
      </c>
      <c r="K149" s="146">
        <f t="shared" si="20"/>
        <v>15</v>
      </c>
      <c r="L149" s="23"/>
      <c r="M149" s="23"/>
      <c r="N149" s="16" t="s">
        <v>762</v>
      </c>
      <c r="O149" s="16"/>
      <c r="P149" s="6"/>
      <c r="Q149" s="6"/>
      <c r="S149" s="6"/>
    </row>
    <row r="150" s="170" customFormat="1" ht="20" customHeight="1" spans="1:19">
      <c r="A150" s="23">
        <v>36</v>
      </c>
      <c r="B150" s="23"/>
      <c r="C150" s="16" t="s">
        <v>769</v>
      </c>
      <c r="D150" s="16" t="s">
        <v>774</v>
      </c>
      <c r="E150" s="16">
        <v>63.332</v>
      </c>
      <c r="F150" s="16" t="s">
        <v>774</v>
      </c>
      <c r="G150" s="16">
        <v>63.4</v>
      </c>
      <c r="H150" s="16" t="s">
        <v>672</v>
      </c>
      <c r="I150" s="16">
        <f t="shared" si="18"/>
        <v>0.0679999999999978</v>
      </c>
      <c r="J150" s="146">
        <f t="shared" si="19"/>
        <v>4</v>
      </c>
      <c r="K150" s="146">
        <f t="shared" si="20"/>
        <v>3</v>
      </c>
      <c r="L150" s="23"/>
      <c r="M150" s="23"/>
      <c r="N150" s="16" t="s">
        <v>762</v>
      </c>
      <c r="O150" s="16"/>
      <c r="P150" s="6"/>
      <c r="Q150" s="6"/>
      <c r="S150" s="6"/>
    </row>
    <row r="151" s="170" customFormat="1" ht="20" customHeight="1" spans="1:19">
      <c r="A151" s="23">
        <v>37</v>
      </c>
      <c r="B151" s="23"/>
      <c r="C151" s="16" t="s">
        <v>769</v>
      </c>
      <c r="D151" s="16" t="s">
        <v>774</v>
      </c>
      <c r="E151" s="16">
        <v>63.676</v>
      </c>
      <c r="F151" s="16" t="s">
        <v>774</v>
      </c>
      <c r="G151" s="16">
        <v>63.85</v>
      </c>
      <c r="H151" s="16" t="s">
        <v>672</v>
      </c>
      <c r="I151" s="16">
        <f t="shared" si="18"/>
        <v>0.174</v>
      </c>
      <c r="J151" s="146">
        <f t="shared" si="19"/>
        <v>11</v>
      </c>
      <c r="K151" s="146">
        <f t="shared" si="20"/>
        <v>8</v>
      </c>
      <c r="L151" s="23"/>
      <c r="M151" s="23"/>
      <c r="N151" s="16" t="s">
        <v>762</v>
      </c>
      <c r="O151" s="16"/>
      <c r="P151" s="6"/>
      <c r="Q151" s="6"/>
      <c r="S151" s="6"/>
    </row>
    <row r="152" s="170" customFormat="1" ht="20" customHeight="1" spans="1:19">
      <c r="A152" s="22">
        <v>38</v>
      </c>
      <c r="B152" s="22"/>
      <c r="C152" s="16" t="s">
        <v>769</v>
      </c>
      <c r="D152" s="16" t="s">
        <v>774</v>
      </c>
      <c r="E152" s="16">
        <v>64.4</v>
      </c>
      <c r="F152" s="16" t="s">
        <v>775</v>
      </c>
      <c r="G152" s="16">
        <v>64.5</v>
      </c>
      <c r="H152" s="16" t="s">
        <v>672</v>
      </c>
      <c r="I152" s="16">
        <f t="shared" si="18"/>
        <v>0.0999999999999943</v>
      </c>
      <c r="J152" s="146">
        <f t="shared" si="19"/>
        <v>6</v>
      </c>
      <c r="K152" s="146">
        <f t="shared" si="20"/>
        <v>5</v>
      </c>
      <c r="L152" s="22"/>
      <c r="M152" s="22"/>
      <c r="N152" s="16" t="s">
        <v>762</v>
      </c>
      <c r="O152" s="16"/>
      <c r="P152" s="6"/>
      <c r="Q152" s="6"/>
      <c r="S152" s="6"/>
    </row>
    <row r="153" s="6" customFormat="1" ht="25" customHeight="1" spans="1:15">
      <c r="A153" s="12" t="s">
        <v>258</v>
      </c>
      <c r="B153" s="13"/>
      <c r="C153" s="13"/>
      <c r="D153" s="13"/>
      <c r="E153" s="13"/>
      <c r="F153" s="13"/>
      <c r="G153" s="13"/>
      <c r="H153" s="14"/>
      <c r="I153" s="15">
        <f t="shared" ref="I153:K153" si="21">SUM(I154:I172)</f>
        <v>6.955</v>
      </c>
      <c r="J153" s="145">
        <f t="shared" si="21"/>
        <v>423</v>
      </c>
      <c r="K153" s="145">
        <f t="shared" si="21"/>
        <v>324</v>
      </c>
      <c r="L153" s="35">
        <f>L154</f>
        <v>104</v>
      </c>
      <c r="M153" s="35"/>
      <c r="N153" s="22"/>
      <c r="O153" s="16"/>
    </row>
    <row r="154" s="6" customFormat="1" ht="21" customHeight="1" spans="1:15">
      <c r="A154" s="20">
        <v>15</v>
      </c>
      <c r="B154" s="20" t="s">
        <v>258</v>
      </c>
      <c r="C154" s="16" t="s">
        <v>322</v>
      </c>
      <c r="D154" s="40" t="s">
        <v>776</v>
      </c>
      <c r="E154" s="24">
        <v>2.265</v>
      </c>
      <c r="F154" s="40" t="s">
        <v>776</v>
      </c>
      <c r="G154" s="58">
        <v>2.5</v>
      </c>
      <c r="H154" s="16" t="s">
        <v>672</v>
      </c>
      <c r="I154" s="16">
        <f t="shared" ref="I154:I173" si="22">G154-E154</f>
        <v>0.235</v>
      </c>
      <c r="J154" s="146">
        <v>15</v>
      </c>
      <c r="K154" s="146">
        <v>11</v>
      </c>
      <c r="L154" s="177">
        <f>(I154+I155+I156+I157+I158+I159+I160+I161+I162+I163+I164+I165+I166+I167+I168+I169+I170+I171+I172)*15</f>
        <v>104</v>
      </c>
      <c r="M154" s="177">
        <f>(K154+K155+K156+K157+K158+K159+K160+K161+K162+K163+K164+K165+K166+K167+K168+K169+K170+K171+K172)*60%</f>
        <v>194</v>
      </c>
      <c r="N154" s="16" t="s">
        <v>777</v>
      </c>
      <c r="O154" s="16"/>
    </row>
    <row r="155" s="6" customFormat="1" ht="21" customHeight="1" spans="1:15">
      <c r="A155" s="23">
        <v>2</v>
      </c>
      <c r="B155" s="23"/>
      <c r="C155" s="16" t="s">
        <v>322</v>
      </c>
      <c r="D155" s="40" t="s">
        <v>776</v>
      </c>
      <c r="E155" s="24">
        <v>3.32</v>
      </c>
      <c r="F155" s="40" t="s">
        <v>776</v>
      </c>
      <c r="G155" s="58">
        <v>3.464</v>
      </c>
      <c r="H155" s="16" t="s">
        <v>672</v>
      </c>
      <c r="I155" s="16">
        <f t="shared" si="22"/>
        <v>0.144</v>
      </c>
      <c r="J155" s="146">
        <v>9</v>
      </c>
      <c r="K155" s="146">
        <v>7</v>
      </c>
      <c r="L155" s="178"/>
      <c r="M155" s="178"/>
      <c r="N155" s="16" t="s">
        <v>777</v>
      </c>
      <c r="O155" s="16"/>
    </row>
    <row r="156" s="6" customFormat="1" ht="21" customHeight="1" spans="1:15">
      <c r="A156" s="23">
        <v>3</v>
      </c>
      <c r="B156" s="23"/>
      <c r="C156" s="16" t="s">
        <v>322</v>
      </c>
      <c r="D156" s="40" t="s">
        <v>776</v>
      </c>
      <c r="E156" s="24">
        <v>3.59</v>
      </c>
      <c r="F156" s="40" t="s">
        <v>776</v>
      </c>
      <c r="G156" s="58">
        <v>3.638</v>
      </c>
      <c r="H156" s="16" t="s">
        <v>672</v>
      </c>
      <c r="I156" s="16">
        <f t="shared" si="22"/>
        <v>0.048</v>
      </c>
      <c r="J156" s="146">
        <v>3</v>
      </c>
      <c r="K156" s="146">
        <v>2</v>
      </c>
      <c r="L156" s="178"/>
      <c r="M156" s="178"/>
      <c r="N156" s="16" t="s">
        <v>777</v>
      </c>
      <c r="O156" s="16"/>
    </row>
    <row r="157" s="6" customFormat="1" ht="21" customHeight="1" spans="1:15">
      <c r="A157" s="23">
        <v>4</v>
      </c>
      <c r="B157" s="23"/>
      <c r="C157" s="16" t="s">
        <v>322</v>
      </c>
      <c r="D157" s="40" t="s">
        <v>776</v>
      </c>
      <c r="E157" s="24">
        <v>4.81</v>
      </c>
      <c r="F157" s="40" t="s">
        <v>776</v>
      </c>
      <c r="G157" s="58">
        <v>4.9</v>
      </c>
      <c r="H157" s="16" t="s">
        <v>672</v>
      </c>
      <c r="I157" s="16">
        <f t="shared" si="22"/>
        <v>0.0900000000000008</v>
      </c>
      <c r="J157" s="146">
        <v>6</v>
      </c>
      <c r="K157" s="146">
        <v>4</v>
      </c>
      <c r="L157" s="178"/>
      <c r="M157" s="178"/>
      <c r="N157" s="16" t="s">
        <v>777</v>
      </c>
      <c r="O157" s="16"/>
    </row>
    <row r="158" s="6" customFormat="1" ht="21" customHeight="1" spans="1:15">
      <c r="A158" s="23">
        <v>5</v>
      </c>
      <c r="B158" s="23"/>
      <c r="C158" s="16" t="s">
        <v>322</v>
      </c>
      <c r="D158" s="40" t="s">
        <v>776</v>
      </c>
      <c r="E158" s="24">
        <v>4.985</v>
      </c>
      <c r="F158" s="40" t="s">
        <v>776</v>
      </c>
      <c r="G158" s="58">
        <v>7</v>
      </c>
      <c r="H158" s="16" t="s">
        <v>672</v>
      </c>
      <c r="I158" s="16">
        <f t="shared" si="22"/>
        <v>2.015</v>
      </c>
      <c r="J158" s="146">
        <v>119</v>
      </c>
      <c r="K158" s="146">
        <v>92</v>
      </c>
      <c r="L158" s="178"/>
      <c r="M158" s="178"/>
      <c r="N158" s="16" t="s">
        <v>777</v>
      </c>
      <c r="O158" s="16"/>
    </row>
    <row r="159" s="6" customFormat="1" ht="21" customHeight="1" spans="1:15">
      <c r="A159" s="23">
        <v>6</v>
      </c>
      <c r="B159" s="23"/>
      <c r="C159" s="16" t="s">
        <v>322</v>
      </c>
      <c r="D159" s="40" t="s">
        <v>776</v>
      </c>
      <c r="E159" s="24">
        <v>7.25</v>
      </c>
      <c r="F159" s="40" t="s">
        <v>776</v>
      </c>
      <c r="G159" s="58">
        <v>7.298</v>
      </c>
      <c r="H159" s="16" t="s">
        <v>672</v>
      </c>
      <c r="I159" s="16">
        <f t="shared" si="22"/>
        <v>0.048</v>
      </c>
      <c r="J159" s="146">
        <v>3</v>
      </c>
      <c r="K159" s="146">
        <v>2</v>
      </c>
      <c r="L159" s="178"/>
      <c r="M159" s="178"/>
      <c r="N159" s="16" t="s">
        <v>777</v>
      </c>
      <c r="O159" s="16"/>
    </row>
    <row r="160" s="6" customFormat="1" ht="21" customHeight="1" spans="1:15">
      <c r="A160" s="23">
        <v>7</v>
      </c>
      <c r="B160" s="23"/>
      <c r="C160" s="16" t="s">
        <v>322</v>
      </c>
      <c r="D160" s="40" t="s">
        <v>776</v>
      </c>
      <c r="E160" s="24">
        <v>7.43</v>
      </c>
      <c r="F160" s="40" t="s">
        <v>776</v>
      </c>
      <c r="G160" s="58">
        <v>7.49</v>
      </c>
      <c r="H160" s="16" t="s">
        <v>672</v>
      </c>
      <c r="I160" s="16">
        <f t="shared" si="22"/>
        <v>0.0600000000000005</v>
      </c>
      <c r="J160" s="146">
        <v>4</v>
      </c>
      <c r="K160" s="146">
        <v>3</v>
      </c>
      <c r="L160" s="178"/>
      <c r="M160" s="178"/>
      <c r="N160" s="16" t="s">
        <v>777</v>
      </c>
      <c r="O160" s="16"/>
    </row>
    <row r="161" s="6" customFormat="1" ht="21" customHeight="1" spans="1:15">
      <c r="A161" s="23">
        <v>8</v>
      </c>
      <c r="B161" s="23"/>
      <c r="C161" s="16" t="s">
        <v>322</v>
      </c>
      <c r="D161" s="40" t="s">
        <v>776</v>
      </c>
      <c r="E161" s="24">
        <v>7.6</v>
      </c>
      <c r="F161" s="40" t="s">
        <v>776</v>
      </c>
      <c r="G161" s="58">
        <v>7.68</v>
      </c>
      <c r="H161" s="16" t="s">
        <v>672</v>
      </c>
      <c r="I161" s="16">
        <f t="shared" si="22"/>
        <v>0.0800000000000001</v>
      </c>
      <c r="J161" s="146">
        <v>5</v>
      </c>
      <c r="K161" s="146">
        <v>4</v>
      </c>
      <c r="L161" s="178"/>
      <c r="M161" s="178"/>
      <c r="N161" s="16" t="s">
        <v>777</v>
      </c>
      <c r="O161" s="16"/>
    </row>
    <row r="162" s="6" customFormat="1" ht="21" customHeight="1" spans="1:15">
      <c r="A162" s="23">
        <v>9</v>
      </c>
      <c r="B162" s="23"/>
      <c r="C162" s="16" t="s">
        <v>322</v>
      </c>
      <c r="D162" s="40" t="s">
        <v>778</v>
      </c>
      <c r="E162" s="24">
        <v>7.8</v>
      </c>
      <c r="F162" s="40" t="s">
        <v>778</v>
      </c>
      <c r="G162" s="58">
        <v>7.896</v>
      </c>
      <c r="H162" s="16" t="s">
        <v>672</v>
      </c>
      <c r="I162" s="16">
        <f t="shared" si="22"/>
        <v>0.0960000000000001</v>
      </c>
      <c r="J162" s="146">
        <v>6</v>
      </c>
      <c r="K162" s="146">
        <v>5</v>
      </c>
      <c r="L162" s="178"/>
      <c r="M162" s="178"/>
      <c r="N162" s="16" t="s">
        <v>777</v>
      </c>
      <c r="O162" s="16"/>
    </row>
    <row r="163" s="6" customFormat="1" ht="21" customHeight="1" spans="1:15">
      <c r="A163" s="23">
        <v>10</v>
      </c>
      <c r="B163" s="23"/>
      <c r="C163" s="16" t="s">
        <v>322</v>
      </c>
      <c r="D163" s="40" t="s">
        <v>778</v>
      </c>
      <c r="E163" s="24">
        <v>8.42</v>
      </c>
      <c r="F163" s="40" t="s">
        <v>778</v>
      </c>
      <c r="G163" s="58">
        <v>8.614</v>
      </c>
      <c r="H163" s="16" t="s">
        <v>672</v>
      </c>
      <c r="I163" s="16">
        <f t="shared" si="22"/>
        <v>0.194000000000001</v>
      </c>
      <c r="J163" s="146">
        <v>12</v>
      </c>
      <c r="K163" s="146">
        <v>9</v>
      </c>
      <c r="L163" s="178"/>
      <c r="M163" s="178"/>
      <c r="N163" s="16" t="s">
        <v>777</v>
      </c>
      <c r="O163" s="16"/>
    </row>
    <row r="164" s="6" customFormat="1" ht="21" customHeight="1" spans="1:15">
      <c r="A164" s="23">
        <v>11</v>
      </c>
      <c r="B164" s="23"/>
      <c r="C164" s="16" t="s">
        <v>322</v>
      </c>
      <c r="D164" s="40" t="s">
        <v>778</v>
      </c>
      <c r="E164" s="24">
        <v>8.57</v>
      </c>
      <c r="F164" s="40" t="s">
        <v>778</v>
      </c>
      <c r="G164" s="58">
        <v>8.64</v>
      </c>
      <c r="H164" s="16" t="s">
        <v>672</v>
      </c>
      <c r="I164" s="16">
        <f t="shared" si="22"/>
        <v>0.0700000000000003</v>
      </c>
      <c r="J164" s="146">
        <v>4</v>
      </c>
      <c r="K164" s="146">
        <v>3</v>
      </c>
      <c r="L164" s="178"/>
      <c r="M164" s="178"/>
      <c r="N164" s="16" t="s">
        <v>777</v>
      </c>
      <c r="O164" s="16"/>
    </row>
    <row r="165" s="6" customFormat="1" ht="21" customHeight="1" spans="1:15">
      <c r="A165" s="23">
        <v>12</v>
      </c>
      <c r="B165" s="23"/>
      <c r="C165" s="16" t="s">
        <v>322</v>
      </c>
      <c r="D165" s="40" t="s">
        <v>778</v>
      </c>
      <c r="E165" s="24">
        <v>8.71</v>
      </c>
      <c r="F165" s="40" t="s">
        <v>778</v>
      </c>
      <c r="G165" s="58">
        <v>9.02</v>
      </c>
      <c r="H165" s="16" t="s">
        <v>672</v>
      </c>
      <c r="I165" s="16">
        <f t="shared" si="22"/>
        <v>0.309999999999999</v>
      </c>
      <c r="J165" s="146">
        <v>20</v>
      </c>
      <c r="K165" s="146">
        <v>15</v>
      </c>
      <c r="L165" s="178"/>
      <c r="M165" s="178"/>
      <c r="N165" s="16" t="s">
        <v>777</v>
      </c>
      <c r="O165" s="16"/>
    </row>
    <row r="166" s="6" customFormat="1" ht="21" customHeight="1" spans="1:15">
      <c r="A166" s="23">
        <v>13</v>
      </c>
      <c r="B166" s="23"/>
      <c r="C166" s="16" t="s">
        <v>322</v>
      </c>
      <c r="D166" s="40" t="s">
        <v>778</v>
      </c>
      <c r="E166" s="24">
        <v>9.28</v>
      </c>
      <c r="F166" s="40" t="s">
        <v>778</v>
      </c>
      <c r="G166" s="58">
        <v>9.38</v>
      </c>
      <c r="H166" s="16" t="s">
        <v>672</v>
      </c>
      <c r="I166" s="16">
        <f t="shared" si="22"/>
        <v>0.100000000000001</v>
      </c>
      <c r="J166" s="146">
        <v>6</v>
      </c>
      <c r="K166" s="146">
        <v>5</v>
      </c>
      <c r="L166" s="178"/>
      <c r="M166" s="178"/>
      <c r="N166" s="16" t="s">
        <v>777</v>
      </c>
      <c r="O166" s="16"/>
    </row>
    <row r="167" s="6" customFormat="1" ht="21" customHeight="1" spans="1:15">
      <c r="A167" s="23">
        <v>14</v>
      </c>
      <c r="B167" s="23"/>
      <c r="C167" s="16" t="s">
        <v>322</v>
      </c>
      <c r="D167" s="40" t="s">
        <v>778</v>
      </c>
      <c r="E167" s="24">
        <v>9.6</v>
      </c>
      <c r="F167" s="40" t="s">
        <v>778</v>
      </c>
      <c r="G167" s="58">
        <v>11.7</v>
      </c>
      <c r="H167" s="16" t="s">
        <v>672</v>
      </c>
      <c r="I167" s="16">
        <f t="shared" si="22"/>
        <v>2.1</v>
      </c>
      <c r="J167" s="146">
        <v>124</v>
      </c>
      <c r="K167" s="146">
        <v>96</v>
      </c>
      <c r="L167" s="178"/>
      <c r="M167" s="178"/>
      <c r="N167" s="16" t="s">
        <v>777</v>
      </c>
      <c r="O167" s="16"/>
    </row>
    <row r="168" s="6" customFormat="1" ht="21" customHeight="1" spans="1:15">
      <c r="A168" s="23">
        <v>15</v>
      </c>
      <c r="B168" s="23"/>
      <c r="C168" s="16" t="s">
        <v>322</v>
      </c>
      <c r="D168" s="40" t="s">
        <v>778</v>
      </c>
      <c r="E168" s="24">
        <v>11.91</v>
      </c>
      <c r="F168" s="40" t="s">
        <v>778</v>
      </c>
      <c r="G168" s="58">
        <v>12.144</v>
      </c>
      <c r="H168" s="16" t="s">
        <v>672</v>
      </c>
      <c r="I168" s="16">
        <f t="shared" si="22"/>
        <v>0.234</v>
      </c>
      <c r="J168" s="146">
        <v>15</v>
      </c>
      <c r="K168" s="146">
        <v>11</v>
      </c>
      <c r="L168" s="178"/>
      <c r="M168" s="178"/>
      <c r="N168" s="16" t="s">
        <v>777</v>
      </c>
      <c r="O168" s="16"/>
    </row>
    <row r="169" s="6" customFormat="1" ht="21" customHeight="1" spans="1:15">
      <c r="A169" s="23">
        <v>16</v>
      </c>
      <c r="B169" s="23"/>
      <c r="C169" s="16" t="s">
        <v>322</v>
      </c>
      <c r="D169" s="40" t="s">
        <v>778</v>
      </c>
      <c r="E169" s="24">
        <v>16.64</v>
      </c>
      <c r="F169" s="40" t="s">
        <v>778</v>
      </c>
      <c r="G169" s="58">
        <v>17.224</v>
      </c>
      <c r="H169" s="16" t="s">
        <v>672</v>
      </c>
      <c r="I169" s="16">
        <f t="shared" si="22"/>
        <v>0.584</v>
      </c>
      <c r="J169" s="146">
        <v>37</v>
      </c>
      <c r="K169" s="146">
        <v>28</v>
      </c>
      <c r="L169" s="178"/>
      <c r="M169" s="178"/>
      <c r="N169" s="16" t="s">
        <v>777</v>
      </c>
      <c r="O169" s="16"/>
    </row>
    <row r="170" s="6" customFormat="1" ht="21" customHeight="1" spans="1:15">
      <c r="A170" s="23">
        <v>17</v>
      </c>
      <c r="B170" s="23"/>
      <c r="C170" s="16" t="s">
        <v>322</v>
      </c>
      <c r="D170" s="40" t="s">
        <v>778</v>
      </c>
      <c r="E170" s="24">
        <v>21.26</v>
      </c>
      <c r="F170" s="40" t="s">
        <v>778</v>
      </c>
      <c r="G170" s="58">
        <v>21.38</v>
      </c>
      <c r="H170" s="16" t="s">
        <v>672</v>
      </c>
      <c r="I170" s="16">
        <f t="shared" si="22"/>
        <v>0.119999999999997</v>
      </c>
      <c r="J170" s="146">
        <v>8</v>
      </c>
      <c r="K170" s="146">
        <v>6</v>
      </c>
      <c r="L170" s="178"/>
      <c r="M170" s="178"/>
      <c r="N170" s="16" t="s">
        <v>777</v>
      </c>
      <c r="O170" s="16"/>
    </row>
    <row r="171" s="6" customFormat="1" ht="21" customHeight="1" spans="1:15">
      <c r="A171" s="23">
        <v>18</v>
      </c>
      <c r="B171" s="23"/>
      <c r="C171" s="16" t="s">
        <v>322</v>
      </c>
      <c r="D171" s="40" t="s">
        <v>778</v>
      </c>
      <c r="E171" s="24">
        <v>26.71</v>
      </c>
      <c r="F171" s="40" t="s">
        <v>778</v>
      </c>
      <c r="G171" s="58">
        <v>27.057</v>
      </c>
      <c r="H171" s="16" t="s">
        <v>672</v>
      </c>
      <c r="I171" s="16">
        <f t="shared" si="22"/>
        <v>0.346999999999998</v>
      </c>
      <c r="J171" s="146">
        <v>22</v>
      </c>
      <c r="K171" s="146">
        <v>17</v>
      </c>
      <c r="L171" s="178"/>
      <c r="M171" s="178"/>
      <c r="N171" s="16" t="s">
        <v>777</v>
      </c>
      <c r="O171" s="16"/>
    </row>
    <row r="172" s="6" customFormat="1" ht="21" customHeight="1" spans="1:15">
      <c r="A172" s="22">
        <v>19</v>
      </c>
      <c r="B172" s="22"/>
      <c r="C172" s="16" t="s">
        <v>322</v>
      </c>
      <c r="D172" s="40" t="s">
        <v>778</v>
      </c>
      <c r="E172" s="24">
        <v>33</v>
      </c>
      <c r="F172" s="40" t="s">
        <v>778</v>
      </c>
      <c r="G172" s="58">
        <v>33.08</v>
      </c>
      <c r="H172" s="16" t="s">
        <v>672</v>
      </c>
      <c r="I172" s="16">
        <f t="shared" si="22"/>
        <v>0.0799999999999983</v>
      </c>
      <c r="J172" s="146">
        <v>5</v>
      </c>
      <c r="K172" s="146">
        <v>4</v>
      </c>
      <c r="L172" s="179"/>
      <c r="M172" s="179"/>
      <c r="N172" s="16" t="s">
        <v>777</v>
      </c>
      <c r="O172" s="16"/>
    </row>
    <row r="173" s="6" customFormat="1" ht="24" customHeight="1" spans="1:15">
      <c r="A173" s="12" t="s">
        <v>277</v>
      </c>
      <c r="B173" s="13"/>
      <c r="C173" s="13"/>
      <c r="D173" s="13"/>
      <c r="E173" s="13"/>
      <c r="F173" s="13"/>
      <c r="G173" s="13"/>
      <c r="H173" s="14"/>
      <c r="I173" s="69">
        <f t="shared" ref="I173:K173" si="23">SUM(I174:I185)</f>
        <v>9.57200000000011</v>
      </c>
      <c r="J173" s="190">
        <f t="shared" si="23"/>
        <v>260</v>
      </c>
      <c r="K173" s="190">
        <f t="shared" si="23"/>
        <v>240</v>
      </c>
      <c r="L173" s="38"/>
      <c r="M173" s="38">
        <f>M174</f>
        <v>180</v>
      </c>
      <c r="N173" s="22"/>
      <c r="O173" s="16"/>
    </row>
    <row r="174" s="6" customFormat="1" ht="15" customHeight="1" spans="1:15">
      <c r="A174" s="20">
        <v>16</v>
      </c>
      <c r="B174" s="20" t="s">
        <v>277</v>
      </c>
      <c r="C174" s="16" t="s">
        <v>163</v>
      </c>
      <c r="D174" s="16" t="s">
        <v>779</v>
      </c>
      <c r="E174" s="58">
        <v>2277.1</v>
      </c>
      <c r="F174" s="40" t="s">
        <v>373</v>
      </c>
      <c r="G174" s="58">
        <v>2277.9</v>
      </c>
      <c r="H174" s="16" t="s">
        <v>780</v>
      </c>
      <c r="I174" s="40">
        <f t="shared" ref="I174:I185" si="24">G174-E174</f>
        <v>0.800000000000182</v>
      </c>
      <c r="J174" s="146">
        <v>16</v>
      </c>
      <c r="K174" s="146">
        <v>14</v>
      </c>
      <c r="L174" s="21">
        <f>(I174+I175+I176+I177+I178+I179+I180+I181+I182+I183+I184+I185)*20</f>
        <v>191.44</v>
      </c>
      <c r="M174" s="21">
        <f>(K174+K175+K176+K177+K178+K179+K180+K181+K182+K183+K184+K185)*75%</f>
        <v>180</v>
      </c>
      <c r="N174" s="16" t="s">
        <v>781</v>
      </c>
      <c r="O174" s="16"/>
    </row>
    <row r="175" s="6" customFormat="1" ht="15" customHeight="1" spans="1:15">
      <c r="A175" s="23">
        <v>2</v>
      </c>
      <c r="B175" s="23"/>
      <c r="C175" s="16" t="s">
        <v>163</v>
      </c>
      <c r="D175" s="16" t="s">
        <v>779</v>
      </c>
      <c r="E175" s="58">
        <v>2278</v>
      </c>
      <c r="F175" s="40" t="s">
        <v>373</v>
      </c>
      <c r="G175" s="58">
        <v>2278.8</v>
      </c>
      <c r="H175" s="16" t="s">
        <v>780</v>
      </c>
      <c r="I175" s="40">
        <f t="shared" si="24"/>
        <v>0.800000000000182</v>
      </c>
      <c r="J175" s="146">
        <v>3</v>
      </c>
      <c r="K175" s="146">
        <v>3</v>
      </c>
      <c r="L175" s="201"/>
      <c r="M175" s="201"/>
      <c r="N175" s="16" t="s">
        <v>782</v>
      </c>
      <c r="O175" s="16"/>
    </row>
    <row r="176" s="6" customFormat="1" ht="15" customHeight="1" spans="1:15">
      <c r="A176" s="23">
        <v>3</v>
      </c>
      <c r="B176" s="23"/>
      <c r="C176" s="16" t="s">
        <v>163</v>
      </c>
      <c r="D176" s="16" t="s">
        <v>779</v>
      </c>
      <c r="E176" s="58">
        <v>2279.2</v>
      </c>
      <c r="F176" s="40" t="s">
        <v>373</v>
      </c>
      <c r="G176" s="58">
        <v>2279.8</v>
      </c>
      <c r="H176" s="16" t="s">
        <v>780</v>
      </c>
      <c r="I176" s="40">
        <f t="shared" si="24"/>
        <v>0.600000000000364</v>
      </c>
      <c r="J176" s="146">
        <v>3</v>
      </c>
      <c r="K176" s="146">
        <v>3</v>
      </c>
      <c r="L176" s="201"/>
      <c r="M176" s="201"/>
      <c r="N176" s="16" t="s">
        <v>782</v>
      </c>
      <c r="O176" s="16"/>
    </row>
    <row r="177" s="6" customFormat="1" ht="15" customHeight="1" spans="1:15">
      <c r="A177" s="23">
        <v>4</v>
      </c>
      <c r="B177" s="23"/>
      <c r="C177" s="16" t="s">
        <v>163</v>
      </c>
      <c r="D177" s="16" t="s">
        <v>783</v>
      </c>
      <c r="E177" s="58">
        <v>2296.4</v>
      </c>
      <c r="F177" s="40" t="s">
        <v>783</v>
      </c>
      <c r="G177" s="58">
        <v>2297.1</v>
      </c>
      <c r="H177" s="16" t="s">
        <v>732</v>
      </c>
      <c r="I177" s="40">
        <f t="shared" si="24"/>
        <v>0.699999999999818</v>
      </c>
      <c r="J177" s="146">
        <v>19</v>
      </c>
      <c r="K177" s="146">
        <v>17</v>
      </c>
      <c r="L177" s="201"/>
      <c r="M177" s="201"/>
      <c r="N177" s="16" t="s">
        <v>784</v>
      </c>
      <c r="O177" s="202" t="s">
        <v>785</v>
      </c>
    </row>
    <row r="178" s="6" customFormat="1" ht="15" customHeight="1" spans="1:15">
      <c r="A178" s="23">
        <v>5</v>
      </c>
      <c r="B178" s="23"/>
      <c r="C178" s="16" t="s">
        <v>163</v>
      </c>
      <c r="D178" s="16" t="s">
        <v>783</v>
      </c>
      <c r="E178" s="58">
        <v>2297.4</v>
      </c>
      <c r="F178" s="40" t="s">
        <v>783</v>
      </c>
      <c r="G178" s="58">
        <v>2297.85</v>
      </c>
      <c r="H178" s="16" t="s">
        <v>732</v>
      </c>
      <c r="I178" s="40">
        <f t="shared" si="24"/>
        <v>0.449999999999818</v>
      </c>
      <c r="J178" s="146">
        <v>19</v>
      </c>
      <c r="K178" s="146">
        <v>18</v>
      </c>
      <c r="L178" s="201"/>
      <c r="M178" s="201"/>
      <c r="N178" s="16" t="s">
        <v>786</v>
      </c>
      <c r="O178" s="203"/>
    </row>
    <row r="179" s="6" customFormat="1" ht="15" customHeight="1" spans="1:15">
      <c r="A179" s="23">
        <v>6</v>
      </c>
      <c r="B179" s="23"/>
      <c r="C179" s="16" t="s">
        <v>163</v>
      </c>
      <c r="D179" s="16" t="s">
        <v>783</v>
      </c>
      <c r="E179" s="58">
        <v>2301.2</v>
      </c>
      <c r="F179" s="40" t="s">
        <v>783</v>
      </c>
      <c r="G179" s="58">
        <v>2301.6</v>
      </c>
      <c r="H179" s="16" t="s">
        <v>732</v>
      </c>
      <c r="I179" s="40">
        <f t="shared" si="24"/>
        <v>0.400000000000091</v>
      </c>
      <c r="J179" s="204">
        <v>85</v>
      </c>
      <c r="K179" s="204">
        <v>80</v>
      </c>
      <c r="L179" s="201"/>
      <c r="M179" s="201"/>
      <c r="N179" s="16" t="s">
        <v>787</v>
      </c>
      <c r="O179" s="205"/>
    </row>
    <row r="180" s="6" customFormat="1" ht="15" customHeight="1" spans="1:15">
      <c r="A180" s="23">
        <v>7</v>
      </c>
      <c r="B180" s="23"/>
      <c r="C180" s="16" t="s">
        <v>163</v>
      </c>
      <c r="D180" s="16" t="s">
        <v>274</v>
      </c>
      <c r="E180" s="58">
        <v>2241.896</v>
      </c>
      <c r="F180" s="16" t="s">
        <v>274</v>
      </c>
      <c r="G180" s="58">
        <v>2242.38</v>
      </c>
      <c r="H180" s="16" t="s">
        <v>732</v>
      </c>
      <c r="I180" s="40">
        <f t="shared" si="24"/>
        <v>0.483999999999924</v>
      </c>
      <c r="J180" s="146">
        <v>2</v>
      </c>
      <c r="K180" s="146">
        <v>2</v>
      </c>
      <c r="L180" s="201"/>
      <c r="M180" s="201"/>
      <c r="N180" s="16" t="s">
        <v>788</v>
      </c>
      <c r="O180" s="16"/>
    </row>
    <row r="181" s="6" customFormat="1" ht="15" customHeight="1" spans="1:15">
      <c r="A181" s="23">
        <v>8</v>
      </c>
      <c r="B181" s="23"/>
      <c r="C181" s="16" t="s">
        <v>163</v>
      </c>
      <c r="D181" s="16" t="s">
        <v>274</v>
      </c>
      <c r="E181" s="58">
        <v>2243.92</v>
      </c>
      <c r="F181" s="16" t="s">
        <v>274</v>
      </c>
      <c r="G181" s="58">
        <v>2244.56</v>
      </c>
      <c r="H181" s="16" t="s">
        <v>732</v>
      </c>
      <c r="I181" s="40">
        <f t="shared" si="24"/>
        <v>0.639999999999873</v>
      </c>
      <c r="J181" s="146">
        <v>15</v>
      </c>
      <c r="K181" s="146">
        <v>14</v>
      </c>
      <c r="L181" s="201"/>
      <c r="M181" s="201"/>
      <c r="N181" s="16" t="s">
        <v>789</v>
      </c>
      <c r="O181" s="16"/>
    </row>
    <row r="182" s="6" customFormat="1" ht="15" customHeight="1" spans="1:15">
      <c r="A182" s="23">
        <v>9</v>
      </c>
      <c r="B182" s="23"/>
      <c r="C182" s="16" t="s">
        <v>163</v>
      </c>
      <c r="D182" s="16" t="s">
        <v>274</v>
      </c>
      <c r="E182" s="58">
        <v>2245.985</v>
      </c>
      <c r="F182" s="16" t="s">
        <v>274</v>
      </c>
      <c r="G182" s="58">
        <v>2247.089</v>
      </c>
      <c r="H182" s="16" t="s">
        <v>732</v>
      </c>
      <c r="I182" s="40">
        <f t="shared" si="24"/>
        <v>1.10399999999981</v>
      </c>
      <c r="J182" s="146">
        <v>9</v>
      </c>
      <c r="K182" s="146">
        <v>8</v>
      </c>
      <c r="L182" s="201"/>
      <c r="M182" s="201"/>
      <c r="N182" s="16" t="s">
        <v>790</v>
      </c>
      <c r="O182" s="16"/>
    </row>
    <row r="183" s="6" customFormat="1" ht="15" customHeight="1" spans="1:15">
      <c r="A183" s="23">
        <v>10</v>
      </c>
      <c r="B183" s="23"/>
      <c r="C183" s="16" t="s">
        <v>163</v>
      </c>
      <c r="D183" s="16" t="s">
        <v>274</v>
      </c>
      <c r="E183" s="58">
        <v>2247.263</v>
      </c>
      <c r="F183" s="16" t="s">
        <v>274</v>
      </c>
      <c r="G183" s="58">
        <v>2248.54</v>
      </c>
      <c r="H183" s="16" t="s">
        <v>732</v>
      </c>
      <c r="I183" s="40">
        <f t="shared" si="24"/>
        <v>1.27700000000004</v>
      </c>
      <c r="J183" s="146">
        <v>45</v>
      </c>
      <c r="K183" s="146">
        <v>41</v>
      </c>
      <c r="L183" s="201"/>
      <c r="M183" s="201"/>
      <c r="N183" s="16" t="s">
        <v>791</v>
      </c>
      <c r="O183" s="16"/>
    </row>
    <row r="184" s="6" customFormat="1" ht="15" customHeight="1" spans="1:15">
      <c r="A184" s="23">
        <v>11</v>
      </c>
      <c r="B184" s="23"/>
      <c r="C184" s="16" t="s">
        <v>163</v>
      </c>
      <c r="D184" s="16" t="s">
        <v>274</v>
      </c>
      <c r="E184" s="58">
        <v>2248.813</v>
      </c>
      <c r="F184" s="16" t="s">
        <v>274</v>
      </c>
      <c r="G184" s="58">
        <v>2249.58</v>
      </c>
      <c r="H184" s="16" t="s">
        <v>732</v>
      </c>
      <c r="I184" s="40">
        <f t="shared" si="24"/>
        <v>0.766999999999825</v>
      </c>
      <c r="J184" s="146">
        <v>24</v>
      </c>
      <c r="K184" s="146">
        <v>22</v>
      </c>
      <c r="L184" s="201"/>
      <c r="M184" s="201"/>
      <c r="N184" s="16" t="s">
        <v>792</v>
      </c>
      <c r="O184" s="16"/>
    </row>
    <row r="185" s="6" customFormat="1" ht="15" customHeight="1" spans="1:15">
      <c r="A185" s="22">
        <v>12</v>
      </c>
      <c r="B185" s="22"/>
      <c r="C185" s="16" t="s">
        <v>163</v>
      </c>
      <c r="D185" s="16" t="s">
        <v>274</v>
      </c>
      <c r="E185" s="58">
        <v>2251.45</v>
      </c>
      <c r="F185" s="16" t="s">
        <v>274</v>
      </c>
      <c r="G185" s="58">
        <v>2253</v>
      </c>
      <c r="H185" s="16" t="s">
        <v>732</v>
      </c>
      <c r="I185" s="40">
        <f t="shared" si="24"/>
        <v>1.55000000000018</v>
      </c>
      <c r="J185" s="146">
        <v>20</v>
      </c>
      <c r="K185" s="146">
        <v>18</v>
      </c>
      <c r="L185" s="206"/>
      <c r="M185" s="206"/>
      <c r="N185" s="16" t="s">
        <v>793</v>
      </c>
      <c r="O185" s="16"/>
    </row>
    <row r="186" s="116" customFormat="1" spans="1:15">
      <c r="A186" s="199"/>
      <c r="B186" s="200"/>
      <c r="C186" s="200"/>
      <c r="D186" s="199"/>
      <c r="E186" s="199"/>
      <c r="F186" s="199"/>
      <c r="G186" s="199"/>
      <c r="H186" s="199"/>
      <c r="I186" s="199"/>
      <c r="J186" s="207"/>
      <c r="K186" s="207"/>
      <c r="L186" s="199"/>
      <c r="M186" s="199"/>
      <c r="N186" s="199"/>
      <c r="O186" s="7"/>
    </row>
    <row r="187" spans="1:15">
      <c r="A187" s="199" t="s">
        <v>794</v>
      </c>
      <c r="B187" s="200"/>
      <c r="C187" s="200"/>
      <c r="D187" s="199"/>
      <c r="E187" s="199"/>
      <c r="F187" s="199"/>
      <c r="G187" s="199"/>
      <c r="H187" s="199"/>
      <c r="I187" s="199"/>
      <c r="J187" s="207"/>
      <c r="K187" s="207"/>
      <c r="L187" s="199"/>
      <c r="M187" s="199"/>
      <c r="N187" s="199"/>
      <c r="O187" s="7"/>
    </row>
    <row r="188" spans="1:15">
      <c r="A188" s="199"/>
      <c r="B188" s="200" t="s">
        <v>795</v>
      </c>
      <c r="C188" s="200"/>
      <c r="D188" s="199"/>
      <c r="E188" s="199"/>
      <c r="F188" s="199"/>
      <c r="G188" s="199"/>
      <c r="H188" s="199"/>
      <c r="I188" s="199"/>
      <c r="J188" s="207"/>
      <c r="K188" s="207"/>
      <c r="L188" s="199"/>
      <c r="M188" s="199"/>
      <c r="N188" s="199"/>
      <c r="O188" s="7"/>
    </row>
    <row r="189" spans="1:15">
      <c r="A189" s="199"/>
      <c r="B189" s="200" t="s">
        <v>796</v>
      </c>
      <c r="C189" s="200"/>
      <c r="D189" s="199"/>
      <c r="E189" s="199"/>
      <c r="F189" s="199"/>
      <c r="G189" s="199"/>
      <c r="H189" s="199"/>
      <c r="I189" s="199"/>
      <c r="J189" s="207"/>
      <c r="K189" s="207"/>
      <c r="L189" s="199"/>
      <c r="M189" s="199"/>
      <c r="N189" s="199"/>
      <c r="O189" s="7"/>
    </row>
    <row r="190" spans="1:15">
      <c r="A190" s="199"/>
      <c r="B190" s="200" t="s">
        <v>797</v>
      </c>
      <c r="C190" s="200"/>
      <c r="D190" s="199"/>
      <c r="E190" s="199"/>
      <c r="F190" s="199"/>
      <c r="G190" s="199"/>
      <c r="H190" s="199"/>
      <c r="I190" s="199"/>
      <c r="J190" s="207"/>
      <c r="K190" s="207"/>
      <c r="L190" s="199"/>
      <c r="M190" s="199"/>
      <c r="N190" s="199"/>
      <c r="O190" s="7"/>
    </row>
    <row r="191" spans="1:15">
      <c r="A191" s="199"/>
      <c r="B191" s="200" t="s">
        <v>798</v>
      </c>
      <c r="C191" s="200"/>
      <c r="D191" s="199"/>
      <c r="E191" s="199"/>
      <c r="F191" s="199"/>
      <c r="G191" s="199"/>
      <c r="H191" s="199"/>
      <c r="I191" s="199"/>
      <c r="J191" s="207"/>
      <c r="K191" s="207"/>
      <c r="L191" s="199"/>
      <c r="M191" s="199"/>
      <c r="N191" s="199"/>
      <c r="O191" s="7"/>
    </row>
    <row r="192" spans="1:15">
      <c r="A192" s="199"/>
      <c r="B192" s="200" t="s">
        <v>799</v>
      </c>
      <c r="C192" s="200"/>
      <c r="D192" s="199"/>
      <c r="E192" s="199"/>
      <c r="F192" s="199"/>
      <c r="G192" s="199"/>
      <c r="H192" s="199"/>
      <c r="I192" s="199"/>
      <c r="J192" s="207"/>
      <c r="K192" s="207"/>
      <c r="L192" s="199"/>
      <c r="M192" s="199"/>
      <c r="N192" s="199"/>
      <c r="O192" s="7"/>
    </row>
    <row r="193" ht="14.25" spans="1:15">
      <c r="A193" s="208"/>
      <c r="B193" s="209"/>
      <c r="C193" s="209"/>
      <c r="D193" s="208"/>
      <c r="E193" s="208"/>
      <c r="F193" s="208"/>
      <c r="G193" s="208"/>
      <c r="H193" s="208"/>
      <c r="I193" s="208"/>
      <c r="J193" s="210"/>
      <c r="K193" s="210"/>
      <c r="L193" s="208"/>
      <c r="M193" s="208"/>
      <c r="N193" s="211"/>
      <c r="O193" s="208"/>
    </row>
    <row r="194" ht="14.25" spans="1:15">
      <c r="A194" s="208"/>
      <c r="B194" s="209"/>
      <c r="C194" s="209"/>
      <c r="D194" s="208"/>
      <c r="E194" s="208"/>
      <c r="F194" s="208"/>
      <c r="G194" s="208"/>
      <c r="H194" s="208"/>
      <c r="I194" s="208"/>
      <c r="J194" s="210"/>
      <c r="K194" s="210"/>
      <c r="L194" s="208"/>
      <c r="M194" s="208"/>
      <c r="N194" s="211"/>
      <c r="O194" s="208"/>
    </row>
    <row r="195" ht="14.25" spans="1:15">
      <c r="A195" s="208"/>
      <c r="B195" s="209"/>
      <c r="C195" s="209"/>
      <c r="D195" s="208"/>
      <c r="E195" s="208"/>
      <c r="F195" s="208"/>
      <c r="G195" s="208"/>
      <c r="H195" s="208"/>
      <c r="I195" s="208"/>
      <c r="J195" s="210"/>
      <c r="K195" s="210"/>
      <c r="L195" s="208"/>
      <c r="M195" s="208"/>
      <c r="N195" s="211"/>
      <c r="O195" s="208"/>
    </row>
    <row r="196" ht="14.25" spans="1:15">
      <c r="A196" s="208"/>
      <c r="B196" s="209"/>
      <c r="C196" s="209"/>
      <c r="D196" s="208"/>
      <c r="E196" s="208"/>
      <c r="F196" s="208"/>
      <c r="G196" s="208"/>
      <c r="H196" s="208"/>
      <c r="I196" s="208"/>
      <c r="J196" s="210"/>
      <c r="K196" s="210"/>
      <c r="L196" s="208"/>
      <c r="M196" s="208"/>
      <c r="N196" s="211"/>
      <c r="O196" s="208"/>
    </row>
    <row r="197" ht="14.25" spans="1:15">
      <c r="A197" s="208"/>
      <c r="B197" s="209"/>
      <c r="C197" s="209"/>
      <c r="D197" s="208"/>
      <c r="E197" s="208"/>
      <c r="F197" s="208"/>
      <c r="G197" s="208"/>
      <c r="H197" s="208"/>
      <c r="I197" s="208"/>
      <c r="J197" s="210"/>
      <c r="K197" s="210"/>
      <c r="L197" s="208"/>
      <c r="M197" s="208"/>
      <c r="N197" s="211"/>
      <c r="O197" s="208"/>
    </row>
    <row r="198" ht="14.25" spans="1:15">
      <c r="A198" s="208"/>
      <c r="B198" s="209"/>
      <c r="C198" s="209"/>
      <c r="D198" s="208"/>
      <c r="E198" s="208"/>
      <c r="F198" s="208"/>
      <c r="G198" s="208"/>
      <c r="H198" s="208"/>
      <c r="I198" s="208"/>
      <c r="J198" s="210"/>
      <c r="K198" s="210"/>
      <c r="L198" s="208"/>
      <c r="M198" s="208"/>
      <c r="N198" s="211"/>
      <c r="O198" s="208"/>
    </row>
    <row r="199" ht="14.25" spans="1:15">
      <c r="A199" s="208"/>
      <c r="B199" s="209"/>
      <c r="C199" s="209"/>
      <c r="D199" s="208"/>
      <c r="E199" s="208"/>
      <c r="F199" s="208"/>
      <c r="G199" s="208"/>
      <c r="H199" s="208"/>
      <c r="I199" s="208"/>
      <c r="J199" s="210"/>
      <c r="K199" s="210"/>
      <c r="L199" s="208"/>
      <c r="M199" s="208"/>
      <c r="N199" s="211"/>
      <c r="O199" s="208"/>
    </row>
    <row r="200" ht="14.25" spans="1:15">
      <c r="A200" s="208"/>
      <c r="B200" s="209"/>
      <c r="C200" s="209"/>
      <c r="D200" s="208"/>
      <c r="E200" s="208"/>
      <c r="F200" s="208"/>
      <c r="G200" s="208"/>
      <c r="H200" s="208"/>
      <c r="I200" s="208"/>
      <c r="J200" s="210"/>
      <c r="K200" s="210"/>
      <c r="L200" s="208"/>
      <c r="M200" s="208"/>
      <c r="N200" s="211"/>
      <c r="O200" s="208"/>
    </row>
    <row r="201" ht="14.25" spans="1:15">
      <c r="A201" s="208"/>
      <c r="B201" s="209"/>
      <c r="C201" s="209"/>
      <c r="D201" s="208"/>
      <c r="E201" s="208"/>
      <c r="F201" s="208"/>
      <c r="G201" s="208"/>
      <c r="H201" s="208"/>
      <c r="I201" s="208"/>
      <c r="J201" s="210"/>
      <c r="K201" s="210"/>
      <c r="L201" s="208"/>
      <c r="M201" s="208"/>
      <c r="N201" s="211"/>
      <c r="O201" s="208"/>
    </row>
    <row r="202" ht="14.25" spans="1:15">
      <c r="A202" s="208"/>
      <c r="B202" s="209"/>
      <c r="C202" s="209"/>
      <c r="D202" s="208"/>
      <c r="E202" s="208"/>
      <c r="F202" s="208"/>
      <c r="G202" s="208"/>
      <c r="H202" s="208"/>
      <c r="I202" s="208"/>
      <c r="J202" s="210"/>
      <c r="K202" s="210"/>
      <c r="L202" s="208"/>
      <c r="M202" s="208"/>
      <c r="N202" s="211"/>
      <c r="O202" s="208"/>
    </row>
    <row r="203" ht="14.25" spans="1:15">
      <c r="A203" s="208"/>
      <c r="B203" s="209"/>
      <c r="C203" s="209"/>
      <c r="D203" s="208"/>
      <c r="E203" s="208"/>
      <c r="F203" s="208"/>
      <c r="G203" s="208"/>
      <c r="H203" s="208"/>
      <c r="I203" s="208"/>
      <c r="J203" s="210"/>
      <c r="K203" s="210"/>
      <c r="L203" s="208"/>
      <c r="M203" s="208"/>
      <c r="N203" s="211"/>
      <c r="O203" s="208"/>
    </row>
    <row r="204" ht="14.25" spans="1:15">
      <c r="A204" s="208"/>
      <c r="B204" s="209"/>
      <c r="C204" s="209"/>
      <c r="D204" s="208"/>
      <c r="E204" s="208"/>
      <c r="F204" s="208"/>
      <c r="G204" s="208"/>
      <c r="H204" s="208"/>
      <c r="I204" s="208"/>
      <c r="J204" s="210"/>
      <c r="K204" s="210"/>
      <c r="L204" s="208"/>
      <c r="M204" s="208"/>
      <c r="N204" s="211"/>
      <c r="O204" s="208"/>
    </row>
    <row r="205" ht="14.25" spans="1:15">
      <c r="A205" s="208"/>
      <c r="B205" s="209"/>
      <c r="C205" s="209"/>
      <c r="D205" s="208"/>
      <c r="E205" s="208"/>
      <c r="F205" s="208"/>
      <c r="G205" s="208"/>
      <c r="H205" s="208"/>
      <c r="I205" s="208"/>
      <c r="J205" s="210"/>
      <c r="K205" s="210"/>
      <c r="L205" s="208"/>
      <c r="M205" s="208"/>
      <c r="N205" s="211"/>
      <c r="O205" s="208"/>
    </row>
    <row r="206" ht="14.25" spans="1:15">
      <c r="A206" s="208"/>
      <c r="B206" s="209"/>
      <c r="C206" s="209"/>
      <c r="D206" s="208"/>
      <c r="E206" s="208"/>
      <c r="F206" s="208"/>
      <c r="G206" s="208"/>
      <c r="H206" s="208"/>
      <c r="I206" s="208"/>
      <c r="J206" s="210"/>
      <c r="K206" s="210"/>
      <c r="L206" s="208"/>
      <c r="M206" s="208"/>
      <c r="N206" s="211"/>
      <c r="O206" s="208"/>
    </row>
    <row r="207" ht="14.25" spans="1:15">
      <c r="A207" s="208"/>
      <c r="B207" s="209"/>
      <c r="C207" s="209"/>
      <c r="D207" s="208"/>
      <c r="E207" s="208"/>
      <c r="F207" s="208"/>
      <c r="G207" s="208"/>
      <c r="H207" s="208"/>
      <c r="I207" s="208"/>
      <c r="J207" s="210"/>
      <c r="K207" s="210"/>
      <c r="L207" s="208"/>
      <c r="M207" s="208"/>
      <c r="N207" s="211"/>
      <c r="O207" s="208"/>
    </row>
    <row r="208" ht="14.25" spans="1:15">
      <c r="A208" s="208"/>
      <c r="B208" s="209"/>
      <c r="C208" s="209"/>
      <c r="D208" s="208"/>
      <c r="E208" s="208"/>
      <c r="F208" s="208"/>
      <c r="G208" s="208"/>
      <c r="H208" s="208"/>
      <c r="I208" s="208"/>
      <c r="J208" s="210"/>
      <c r="K208" s="210"/>
      <c r="L208" s="208"/>
      <c r="M208" s="208"/>
      <c r="N208" s="211"/>
      <c r="O208" s="208"/>
    </row>
    <row r="209" ht="14.25" spans="1:15">
      <c r="A209" s="208"/>
      <c r="B209" s="209"/>
      <c r="C209" s="209"/>
      <c r="D209" s="208"/>
      <c r="E209" s="208"/>
      <c r="F209" s="208"/>
      <c r="G209" s="208"/>
      <c r="H209" s="208"/>
      <c r="I209" s="208"/>
      <c r="J209" s="210"/>
      <c r="K209" s="210"/>
      <c r="L209" s="208"/>
      <c r="M209" s="208"/>
      <c r="N209" s="211"/>
      <c r="O209" s="208"/>
    </row>
    <row r="210" ht="14.25" spans="1:15">
      <c r="A210" s="208"/>
      <c r="B210" s="209"/>
      <c r="C210" s="209"/>
      <c r="D210" s="208"/>
      <c r="E210" s="208"/>
      <c r="F210" s="208"/>
      <c r="G210" s="208"/>
      <c r="H210" s="208"/>
      <c r="I210" s="208"/>
      <c r="J210" s="210"/>
      <c r="K210" s="210"/>
      <c r="L210" s="208"/>
      <c r="M210" s="208"/>
      <c r="N210" s="211"/>
      <c r="O210" s="208"/>
    </row>
    <row r="211" ht="14.25" spans="1:15">
      <c r="A211" s="208"/>
      <c r="B211" s="209"/>
      <c r="C211" s="209"/>
      <c r="D211" s="208"/>
      <c r="E211" s="208"/>
      <c r="F211" s="208"/>
      <c r="G211" s="208"/>
      <c r="H211" s="208"/>
      <c r="I211" s="208"/>
      <c r="J211" s="210"/>
      <c r="K211" s="210"/>
      <c r="L211" s="208"/>
      <c r="M211" s="208"/>
      <c r="N211" s="211"/>
      <c r="O211" s="208"/>
    </row>
    <row r="212" ht="14.25" spans="1:15">
      <c r="A212" s="208"/>
      <c r="B212" s="209"/>
      <c r="C212" s="209"/>
      <c r="D212" s="208"/>
      <c r="E212" s="208"/>
      <c r="F212" s="208"/>
      <c r="G212" s="208"/>
      <c r="H212" s="208"/>
      <c r="I212" s="208"/>
      <c r="J212" s="210"/>
      <c r="K212" s="210"/>
      <c r="L212" s="208"/>
      <c r="M212" s="208"/>
      <c r="N212" s="211"/>
      <c r="O212" s="208"/>
    </row>
    <row r="213" ht="14.25" spans="1:15">
      <c r="A213" s="208"/>
      <c r="B213" s="209"/>
      <c r="C213" s="209"/>
      <c r="D213" s="208"/>
      <c r="E213" s="208"/>
      <c r="F213" s="208"/>
      <c r="G213" s="208"/>
      <c r="H213" s="208"/>
      <c r="I213" s="208"/>
      <c r="J213" s="210"/>
      <c r="K213" s="210"/>
      <c r="L213" s="208"/>
      <c r="M213" s="208"/>
      <c r="N213" s="211"/>
      <c r="O213" s="208"/>
    </row>
    <row r="214" ht="14.25" spans="1:15">
      <c r="A214" s="208"/>
      <c r="B214" s="209"/>
      <c r="C214" s="209"/>
      <c r="D214" s="208"/>
      <c r="E214" s="208"/>
      <c r="F214" s="208"/>
      <c r="G214" s="208"/>
      <c r="H214" s="208"/>
      <c r="I214" s="208"/>
      <c r="J214" s="210"/>
      <c r="K214" s="210"/>
      <c r="L214" s="208"/>
      <c r="M214" s="208"/>
      <c r="N214" s="211"/>
      <c r="O214" s="208"/>
    </row>
    <row r="215" ht="14.25" spans="1:15">
      <c r="A215" s="208"/>
      <c r="B215" s="209"/>
      <c r="C215" s="209"/>
      <c r="D215" s="208"/>
      <c r="E215" s="208"/>
      <c r="F215" s="208"/>
      <c r="G215" s="208"/>
      <c r="H215" s="208"/>
      <c r="I215" s="208"/>
      <c r="J215" s="210"/>
      <c r="K215" s="210"/>
      <c r="L215" s="208"/>
      <c r="M215" s="208"/>
      <c r="N215" s="211"/>
      <c r="O215" s="208"/>
    </row>
    <row r="216" ht="14.25" spans="1:15">
      <c r="A216" s="208"/>
      <c r="B216" s="209"/>
      <c r="C216" s="209"/>
      <c r="D216" s="208"/>
      <c r="E216" s="208"/>
      <c r="F216" s="208"/>
      <c r="G216" s="208"/>
      <c r="H216" s="208"/>
      <c r="I216" s="208"/>
      <c r="J216" s="210"/>
      <c r="K216" s="210"/>
      <c r="L216" s="208"/>
      <c r="M216" s="208"/>
      <c r="N216" s="211"/>
      <c r="O216" s="208"/>
    </row>
    <row r="217" ht="14.25" spans="1:15">
      <c r="A217" s="208"/>
      <c r="B217" s="209"/>
      <c r="C217" s="209"/>
      <c r="D217" s="208"/>
      <c r="E217" s="208"/>
      <c r="F217" s="208"/>
      <c r="G217" s="208"/>
      <c r="H217" s="208"/>
      <c r="I217" s="208"/>
      <c r="J217" s="210"/>
      <c r="K217" s="210"/>
      <c r="L217" s="208"/>
      <c r="M217" s="208"/>
      <c r="N217" s="211"/>
      <c r="O217" s="208"/>
    </row>
    <row r="218" ht="14.25" spans="1:15">
      <c r="A218" s="208"/>
      <c r="B218" s="209"/>
      <c r="C218" s="209"/>
      <c r="D218" s="208"/>
      <c r="E218" s="208"/>
      <c r="F218" s="208"/>
      <c r="G218" s="208"/>
      <c r="H218" s="208"/>
      <c r="I218" s="208"/>
      <c r="J218" s="210"/>
      <c r="K218" s="210"/>
      <c r="L218" s="208"/>
      <c r="M218" s="208"/>
      <c r="N218" s="211"/>
      <c r="O218" s="208"/>
    </row>
    <row r="219" ht="14.25" spans="1:15">
      <c r="A219" s="208"/>
      <c r="B219" s="209"/>
      <c r="C219" s="209"/>
      <c r="D219" s="208"/>
      <c r="E219" s="208"/>
      <c r="F219" s="208"/>
      <c r="G219" s="208"/>
      <c r="H219" s="208"/>
      <c r="I219" s="208"/>
      <c r="J219" s="210"/>
      <c r="K219" s="210"/>
      <c r="L219" s="208"/>
      <c r="M219" s="208"/>
      <c r="N219" s="211"/>
      <c r="O219" s="208"/>
    </row>
    <row r="220" ht="14.25" spans="1:15">
      <c r="A220" s="208"/>
      <c r="B220" s="209"/>
      <c r="C220" s="209"/>
      <c r="D220" s="208"/>
      <c r="E220" s="208"/>
      <c r="F220" s="208"/>
      <c r="G220" s="208"/>
      <c r="H220" s="208"/>
      <c r="I220" s="208"/>
      <c r="J220" s="210"/>
      <c r="K220" s="210"/>
      <c r="L220" s="208"/>
      <c r="M220" s="208"/>
      <c r="N220" s="211"/>
      <c r="O220" s="208"/>
    </row>
    <row r="221" ht="14.25" spans="1:15">
      <c r="A221" s="208"/>
      <c r="B221" s="209"/>
      <c r="C221" s="209"/>
      <c r="D221" s="208"/>
      <c r="E221" s="208"/>
      <c r="F221" s="208"/>
      <c r="G221" s="208"/>
      <c r="H221" s="208"/>
      <c r="I221" s="208"/>
      <c r="J221" s="210"/>
      <c r="K221" s="210"/>
      <c r="L221" s="208"/>
      <c r="M221" s="208"/>
      <c r="N221" s="211"/>
      <c r="O221" s="208"/>
    </row>
    <row r="222" ht="14.25" spans="1:15">
      <c r="A222" s="208"/>
      <c r="B222" s="209"/>
      <c r="C222" s="209"/>
      <c r="D222" s="208"/>
      <c r="E222" s="208"/>
      <c r="F222" s="208"/>
      <c r="G222" s="208"/>
      <c r="H222" s="208"/>
      <c r="I222" s="208"/>
      <c r="J222" s="210"/>
      <c r="K222" s="210"/>
      <c r="L222" s="208"/>
      <c r="M222" s="208"/>
      <c r="N222" s="211"/>
      <c r="O222" s="208"/>
    </row>
  </sheetData>
  <autoFilter xmlns:etc="http://www.wps.cn/officeDocument/2017/etCustomData" ref="A3:S185" etc:filterBottomFollowUsedRange="0">
    <extLst/>
  </autoFilter>
  <mergeCells count="88">
    <mergeCell ref="A1:O1"/>
    <mergeCell ref="C2:G2"/>
    <mergeCell ref="A4:H4"/>
    <mergeCell ref="L4:M4"/>
    <mergeCell ref="A5:H5"/>
    <mergeCell ref="A12:H12"/>
    <mergeCell ref="A31:H31"/>
    <mergeCell ref="A35:H35"/>
    <mergeCell ref="A46:H46"/>
    <mergeCell ref="A92:H92"/>
    <mergeCell ref="A114:H114"/>
    <mergeCell ref="A153:H153"/>
    <mergeCell ref="A173:H173"/>
    <mergeCell ref="A2:A3"/>
    <mergeCell ref="A6:A10"/>
    <mergeCell ref="A13:A15"/>
    <mergeCell ref="A16:A19"/>
    <mergeCell ref="A20:A24"/>
    <mergeCell ref="A25:A30"/>
    <mergeCell ref="A32:A34"/>
    <mergeCell ref="A36:A40"/>
    <mergeCell ref="A41:A45"/>
    <mergeCell ref="A47:A91"/>
    <mergeCell ref="A95:A113"/>
    <mergeCell ref="A115:A152"/>
    <mergeCell ref="A154:A172"/>
    <mergeCell ref="A174:A185"/>
    <mergeCell ref="B2:B3"/>
    <mergeCell ref="B6:B10"/>
    <mergeCell ref="B13:B15"/>
    <mergeCell ref="B16:B19"/>
    <mergeCell ref="B20:B24"/>
    <mergeCell ref="B25:B30"/>
    <mergeCell ref="B32:B34"/>
    <mergeCell ref="B36:B40"/>
    <mergeCell ref="B41:B45"/>
    <mergeCell ref="B47:B91"/>
    <mergeCell ref="B95:B113"/>
    <mergeCell ref="B115:B152"/>
    <mergeCell ref="B154:B172"/>
    <mergeCell ref="B174:B185"/>
    <mergeCell ref="C6:C10"/>
    <mergeCell ref="C32:C34"/>
    <mergeCell ref="H2:H3"/>
    <mergeCell ref="I2:I3"/>
    <mergeCell ref="J2:J3"/>
    <mergeCell ref="J32:J33"/>
    <mergeCell ref="J47:J71"/>
    <mergeCell ref="J72:J73"/>
    <mergeCell ref="J74:J81"/>
    <mergeCell ref="J82:J91"/>
    <mergeCell ref="K2:K3"/>
    <mergeCell ref="K32:K33"/>
    <mergeCell ref="K47:K71"/>
    <mergeCell ref="K72:K73"/>
    <mergeCell ref="K74:K81"/>
    <mergeCell ref="K82:K91"/>
    <mergeCell ref="L6:L10"/>
    <mergeCell ref="L13:L15"/>
    <mergeCell ref="L16:L19"/>
    <mergeCell ref="L20:L24"/>
    <mergeCell ref="L25:L30"/>
    <mergeCell ref="L32:L33"/>
    <mergeCell ref="L36:L40"/>
    <mergeCell ref="L41:L45"/>
    <mergeCell ref="L47:L91"/>
    <mergeCell ref="L95:L113"/>
    <mergeCell ref="L115:L152"/>
    <mergeCell ref="L154:L172"/>
    <mergeCell ref="L174:L185"/>
    <mergeCell ref="M6:M10"/>
    <mergeCell ref="M13:M15"/>
    <mergeCell ref="M16:M19"/>
    <mergeCell ref="M20:M24"/>
    <mergeCell ref="M25:M30"/>
    <mergeCell ref="M32:M33"/>
    <mergeCell ref="M36:M40"/>
    <mergeCell ref="M41:M45"/>
    <mergeCell ref="M47:M91"/>
    <mergeCell ref="M95:M113"/>
    <mergeCell ref="M115:M152"/>
    <mergeCell ref="M154:M172"/>
    <mergeCell ref="M174:M185"/>
    <mergeCell ref="N2:N3"/>
    <mergeCell ref="O2:O3"/>
    <mergeCell ref="O32:O34"/>
    <mergeCell ref="O177:O179"/>
    <mergeCell ref="L2:M3"/>
  </mergeCells>
  <pageMargins left="0.354166666666667" right="0.196527777777778" top="0.275" bottom="0.314583333333333" header="0.236111111111111" footer="0.275"/>
  <pageSetup paperSize="9" scale="68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6"/>
  <sheetViews>
    <sheetView view="pageBreakPreview" zoomScaleNormal="80" workbookViewId="0">
      <pane ySplit="3" topLeftCell="A28" activePane="bottomLeft" state="frozen"/>
      <selection/>
      <selection pane="bottomLeft" activeCell="S28" sqref="S28:S36"/>
    </sheetView>
  </sheetViews>
  <sheetFormatPr defaultColWidth="9" defaultRowHeight="13.5"/>
  <cols>
    <col min="1" max="1" width="4.60833333333333" style="116" customWidth="1"/>
    <col min="2" max="2" width="12.8" style="116" customWidth="1"/>
    <col min="3" max="3" width="7.68333333333333" style="116" customWidth="1"/>
    <col min="4" max="4" width="9" style="116"/>
    <col min="5" max="5" width="9.25" style="116"/>
    <col min="6" max="6" width="9" style="116"/>
    <col min="7" max="7" width="9.38333333333333" style="116"/>
    <col min="8" max="8" width="9" style="116"/>
    <col min="9" max="9" width="13.0333333333333" style="116" customWidth="1"/>
    <col min="10" max="11" width="9" style="116"/>
    <col min="12" max="12" width="10.2833333333333" style="116" customWidth="1"/>
    <col min="13" max="13" width="12.3666666666667" style="151" customWidth="1"/>
    <col min="14" max="14" width="12.35" style="151" customWidth="1"/>
    <col min="15" max="15" width="12.35" style="116" customWidth="1"/>
    <col min="16" max="16" width="14.6833333333333" style="116" customWidth="1"/>
    <col min="17" max="17" width="29.6416666666667" style="116" customWidth="1"/>
    <col min="18" max="18" width="18.4833333333333" style="116" customWidth="1"/>
    <col min="19" max="19" width="16.1166666666667" style="116" customWidth="1"/>
    <col min="20" max="16384" width="9" style="116"/>
  </cols>
  <sheetData>
    <row r="1" ht="42" customHeight="1" spans="1:19">
      <c r="A1" s="152" t="s">
        <v>800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8"/>
      <c r="N1" s="158"/>
      <c r="O1" s="153"/>
      <c r="P1" s="153"/>
      <c r="Q1" s="153"/>
      <c r="R1" s="166"/>
      <c r="S1" s="167"/>
    </row>
    <row r="2" s="116" customFormat="1" ht="69" customHeight="1" spans="1:19">
      <c r="A2" s="154" t="s">
        <v>1</v>
      </c>
      <c r="B2" s="154" t="s">
        <v>41</v>
      </c>
      <c r="C2" s="154" t="s">
        <v>649</v>
      </c>
      <c r="D2" s="154" t="s">
        <v>801</v>
      </c>
      <c r="E2" s="154" t="s">
        <v>49</v>
      </c>
      <c r="F2" s="154" t="s">
        <v>651</v>
      </c>
      <c r="G2" s="154" t="s">
        <v>652</v>
      </c>
      <c r="H2" s="154" t="s">
        <v>469</v>
      </c>
      <c r="I2" s="154" t="s">
        <v>802</v>
      </c>
      <c r="J2" s="154" t="s">
        <v>803</v>
      </c>
      <c r="K2" s="154" t="s">
        <v>804</v>
      </c>
      <c r="L2" s="154" t="s">
        <v>805</v>
      </c>
      <c r="M2" s="159" t="s">
        <v>806</v>
      </c>
      <c r="N2" s="160" t="s">
        <v>647</v>
      </c>
      <c r="O2" s="9" t="s">
        <v>807</v>
      </c>
      <c r="P2" s="9" t="s">
        <v>808</v>
      </c>
      <c r="Q2" s="9" t="s">
        <v>471</v>
      </c>
      <c r="R2" s="9" t="s">
        <v>809</v>
      </c>
      <c r="S2" s="32" t="s">
        <v>48</v>
      </c>
    </row>
    <row r="3" s="117" customFormat="1" ht="25" customHeight="1" spans="1:19">
      <c r="A3" s="12" t="s">
        <v>55</v>
      </c>
      <c r="B3" s="13"/>
      <c r="C3" s="13"/>
      <c r="D3" s="13"/>
      <c r="E3" s="13"/>
      <c r="F3" s="13"/>
      <c r="G3" s="13"/>
      <c r="H3" s="13"/>
      <c r="I3" s="13"/>
      <c r="J3" s="14"/>
      <c r="K3" s="15"/>
      <c r="L3" s="15">
        <f>L4+L10+L14+L16+L17+L22+L23+L27+L25</f>
        <v>1.93800000000015</v>
      </c>
      <c r="M3" s="15">
        <f>M4+M10+M14+M16+M17+M22+M23+M27+M25</f>
        <v>3172</v>
      </c>
      <c r="N3" s="15">
        <f>N4+N10+N14+N16+N17+N22+N23+N27+N25</f>
        <v>2805</v>
      </c>
      <c r="O3" s="15">
        <f>O4+O10+O14+O16+O17+O22+O23+O27+O25</f>
        <v>44.9500000000029</v>
      </c>
      <c r="P3" s="15">
        <f>P4+P10+P14+P16+P17+P22+P23+P27+P25</f>
        <v>1389.75</v>
      </c>
      <c r="Q3" s="15"/>
      <c r="R3" s="15"/>
      <c r="S3" s="37"/>
    </row>
    <row r="4" s="117" customFormat="1" ht="24" customHeight="1" spans="1:19">
      <c r="A4" s="12" t="s">
        <v>70</v>
      </c>
      <c r="B4" s="13"/>
      <c r="C4" s="13"/>
      <c r="D4" s="13"/>
      <c r="E4" s="13"/>
      <c r="F4" s="13"/>
      <c r="G4" s="13"/>
      <c r="H4" s="13"/>
      <c r="I4" s="13"/>
      <c r="J4" s="14"/>
      <c r="K4" s="15"/>
      <c r="L4" s="15">
        <f t="shared" ref="L4:P4" si="0">SUM(L5:L6)</f>
        <v>0.214</v>
      </c>
      <c r="M4" s="145">
        <f t="shared" si="0"/>
        <v>37</v>
      </c>
      <c r="N4" s="145">
        <f t="shared" si="0"/>
        <v>31</v>
      </c>
      <c r="O4" s="15">
        <f t="shared" si="0"/>
        <v>7.49</v>
      </c>
      <c r="P4" s="15">
        <f t="shared" si="0"/>
        <v>0</v>
      </c>
      <c r="Q4" s="15"/>
      <c r="R4" s="15"/>
      <c r="S4" s="37"/>
    </row>
    <row r="5" s="117" customFormat="1" ht="24" spans="1:19">
      <c r="A5" s="20">
        <v>1</v>
      </c>
      <c r="B5" s="20" t="s">
        <v>70</v>
      </c>
      <c r="C5" s="16" t="s">
        <v>63</v>
      </c>
      <c r="D5" s="16" t="s">
        <v>810</v>
      </c>
      <c r="E5" s="16">
        <v>579.016</v>
      </c>
      <c r="F5" s="16" t="s">
        <v>810</v>
      </c>
      <c r="G5" s="16">
        <v>579.11</v>
      </c>
      <c r="H5" s="16" t="s">
        <v>811</v>
      </c>
      <c r="I5" s="390" t="s">
        <v>812</v>
      </c>
      <c r="J5" s="16" t="s">
        <v>813</v>
      </c>
      <c r="K5" s="16" t="s">
        <v>814</v>
      </c>
      <c r="L5" s="16">
        <v>0.094</v>
      </c>
      <c r="M5" s="146">
        <v>25</v>
      </c>
      <c r="N5" s="146">
        <f t="shared" ref="N5:N9" si="1">M5*0.85</f>
        <v>21</v>
      </c>
      <c r="O5" s="20">
        <f>(L5+L6)*35</f>
        <v>7.49</v>
      </c>
      <c r="P5" s="20"/>
      <c r="Q5" s="16" t="s">
        <v>815</v>
      </c>
      <c r="R5" s="16" t="s">
        <v>816</v>
      </c>
      <c r="S5" s="16"/>
    </row>
    <row r="6" s="117" customFormat="1" ht="24" spans="1:19">
      <c r="A6" s="22">
        <v>2</v>
      </c>
      <c r="B6" s="22" t="s">
        <v>70</v>
      </c>
      <c r="C6" s="16" t="s">
        <v>63</v>
      </c>
      <c r="D6" s="16" t="s">
        <v>817</v>
      </c>
      <c r="E6" s="16">
        <v>575.16</v>
      </c>
      <c r="F6" s="16" t="s">
        <v>817</v>
      </c>
      <c r="G6" s="16">
        <v>575.28</v>
      </c>
      <c r="H6" s="16" t="s">
        <v>811</v>
      </c>
      <c r="I6" s="16" t="s">
        <v>818</v>
      </c>
      <c r="J6" s="16" t="s">
        <v>813</v>
      </c>
      <c r="K6" s="16" t="s">
        <v>819</v>
      </c>
      <c r="L6" s="16">
        <v>0.12</v>
      </c>
      <c r="M6" s="146">
        <f>1000*120/10000</f>
        <v>12</v>
      </c>
      <c r="N6" s="146">
        <f t="shared" si="1"/>
        <v>10</v>
      </c>
      <c r="O6" s="22"/>
      <c r="P6" s="22"/>
      <c r="Q6" s="16" t="s">
        <v>820</v>
      </c>
      <c r="R6" s="16" t="s">
        <v>821</v>
      </c>
      <c r="S6" s="16"/>
    </row>
    <row r="7" s="117" customFormat="1" ht="24" spans="1:19">
      <c r="A7" s="20">
        <v>2</v>
      </c>
      <c r="B7" s="20" t="s">
        <v>70</v>
      </c>
      <c r="C7" s="16" t="s">
        <v>822</v>
      </c>
      <c r="D7" s="16" t="s">
        <v>823</v>
      </c>
      <c r="E7" s="16">
        <v>13.23</v>
      </c>
      <c r="F7" s="16" t="s">
        <v>823</v>
      </c>
      <c r="G7" s="16">
        <v>13.25</v>
      </c>
      <c r="H7" s="16" t="s">
        <v>811</v>
      </c>
      <c r="I7" s="16" t="s">
        <v>824</v>
      </c>
      <c r="J7" s="16" t="s">
        <v>813</v>
      </c>
      <c r="K7" s="16" t="s">
        <v>819</v>
      </c>
      <c r="L7" s="16">
        <v>0.02</v>
      </c>
      <c r="M7" s="146">
        <v>4</v>
      </c>
      <c r="N7" s="146">
        <f t="shared" si="1"/>
        <v>3</v>
      </c>
      <c r="O7" s="20">
        <f>(L7+L8+L9)*30</f>
        <v>1.86000000000005</v>
      </c>
      <c r="P7" s="20"/>
      <c r="Q7" s="16" t="s">
        <v>815</v>
      </c>
      <c r="R7" s="16" t="s">
        <v>825</v>
      </c>
      <c r="S7" s="16"/>
    </row>
    <row r="8" s="117" customFormat="1" ht="24" spans="1:19">
      <c r="A8" s="23">
        <v>4</v>
      </c>
      <c r="B8" s="23" t="s">
        <v>70</v>
      </c>
      <c r="C8" s="16" t="s">
        <v>822</v>
      </c>
      <c r="D8" s="16" t="s">
        <v>823</v>
      </c>
      <c r="E8" s="16">
        <v>14.949</v>
      </c>
      <c r="F8" s="16" t="s">
        <v>823</v>
      </c>
      <c r="G8" s="16">
        <v>14.961</v>
      </c>
      <c r="H8" s="16" t="s">
        <v>811</v>
      </c>
      <c r="I8" s="16" t="s">
        <v>826</v>
      </c>
      <c r="J8" s="16" t="s">
        <v>813</v>
      </c>
      <c r="K8" s="16" t="s">
        <v>819</v>
      </c>
      <c r="L8" s="16">
        <f t="shared" ref="L8:L12" si="2">G8-E8</f>
        <v>0.0120000000000005</v>
      </c>
      <c r="M8" s="146">
        <v>2</v>
      </c>
      <c r="N8" s="146">
        <f t="shared" si="1"/>
        <v>2</v>
      </c>
      <c r="O8" s="23"/>
      <c r="P8" s="23"/>
      <c r="Q8" s="16" t="s">
        <v>815</v>
      </c>
      <c r="R8" s="16" t="s">
        <v>825</v>
      </c>
      <c r="S8" s="16"/>
    </row>
    <row r="9" s="117" customFormat="1" ht="24" spans="1:19">
      <c r="A9" s="22">
        <v>5</v>
      </c>
      <c r="B9" s="22" t="s">
        <v>70</v>
      </c>
      <c r="C9" s="16" t="s">
        <v>822</v>
      </c>
      <c r="D9" s="16" t="s">
        <v>823</v>
      </c>
      <c r="E9" s="16">
        <v>22.238</v>
      </c>
      <c r="F9" s="16" t="s">
        <v>823</v>
      </c>
      <c r="G9" s="16">
        <v>22.268</v>
      </c>
      <c r="H9" s="16" t="s">
        <v>811</v>
      </c>
      <c r="I9" s="16" t="s">
        <v>827</v>
      </c>
      <c r="J9" s="16" t="s">
        <v>813</v>
      </c>
      <c r="K9" s="16" t="s">
        <v>819</v>
      </c>
      <c r="L9" s="16">
        <f t="shared" si="2"/>
        <v>0.0300000000000011</v>
      </c>
      <c r="M9" s="146">
        <v>5</v>
      </c>
      <c r="N9" s="146">
        <f t="shared" si="1"/>
        <v>4</v>
      </c>
      <c r="O9" s="22"/>
      <c r="P9" s="22"/>
      <c r="Q9" s="16" t="s">
        <v>815</v>
      </c>
      <c r="R9" s="16" t="s">
        <v>825</v>
      </c>
      <c r="S9" s="16"/>
    </row>
    <row r="10" s="117" customFormat="1" ht="24" customHeight="1" spans="1:19">
      <c r="A10" s="12" t="s">
        <v>318</v>
      </c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5">
        <f t="shared" ref="L10:P10" si="3">SUM(L11:L12)</f>
        <v>0.169000000000082</v>
      </c>
      <c r="M10" s="145">
        <f t="shared" si="3"/>
        <v>90</v>
      </c>
      <c r="N10" s="145">
        <f t="shared" si="3"/>
        <v>78</v>
      </c>
      <c r="O10" s="15">
        <f t="shared" si="3"/>
        <v>5.63000000000287</v>
      </c>
      <c r="P10" s="15">
        <f t="shared" si="3"/>
        <v>0</v>
      </c>
      <c r="Q10" s="16"/>
      <c r="R10" s="16"/>
      <c r="S10" s="16"/>
    </row>
    <row r="11" s="117" customFormat="1" ht="24" spans="1:19">
      <c r="A11" s="16">
        <v>3</v>
      </c>
      <c r="B11" s="16" t="s">
        <v>318</v>
      </c>
      <c r="C11" s="16" t="s">
        <v>828</v>
      </c>
      <c r="D11" s="16" t="s">
        <v>829</v>
      </c>
      <c r="E11" s="16">
        <v>67.594</v>
      </c>
      <c r="F11" s="16" t="s">
        <v>829</v>
      </c>
      <c r="G11" s="16">
        <v>67.651</v>
      </c>
      <c r="H11" s="16" t="s">
        <v>811</v>
      </c>
      <c r="I11" s="390" t="s">
        <v>830</v>
      </c>
      <c r="J11" s="16" t="s">
        <v>831</v>
      </c>
      <c r="K11" s="16" t="s">
        <v>832</v>
      </c>
      <c r="L11" s="16">
        <f t="shared" si="2"/>
        <v>0.0570000000000022</v>
      </c>
      <c r="M11" s="146">
        <f>N11+N11*0.15</f>
        <v>35</v>
      </c>
      <c r="N11" s="146">
        <v>30</v>
      </c>
      <c r="O11" s="16">
        <f>L11*30</f>
        <v>1.71000000000007</v>
      </c>
      <c r="P11" s="16"/>
      <c r="Q11" s="16" t="s">
        <v>833</v>
      </c>
      <c r="R11" s="16" t="s">
        <v>834</v>
      </c>
      <c r="S11" s="16"/>
    </row>
    <row r="12" s="117" customFormat="1" ht="24" spans="1:19">
      <c r="A12" s="16">
        <v>4</v>
      </c>
      <c r="B12" s="16" t="s">
        <v>318</v>
      </c>
      <c r="C12" s="16" t="s">
        <v>396</v>
      </c>
      <c r="D12" s="16" t="s">
        <v>835</v>
      </c>
      <c r="E12" s="16">
        <v>2077.09</v>
      </c>
      <c r="F12" s="16" t="s">
        <v>835</v>
      </c>
      <c r="G12" s="16">
        <v>2077.202</v>
      </c>
      <c r="H12" s="16" t="s">
        <v>811</v>
      </c>
      <c r="I12" s="390" t="s">
        <v>836</v>
      </c>
      <c r="J12" s="16" t="s">
        <v>831</v>
      </c>
      <c r="K12" s="16" t="s">
        <v>832</v>
      </c>
      <c r="L12" s="16">
        <f t="shared" si="2"/>
        <v>0.11200000000008</v>
      </c>
      <c r="M12" s="146">
        <f>N12+N12*0.15</f>
        <v>55</v>
      </c>
      <c r="N12" s="146">
        <v>48</v>
      </c>
      <c r="O12" s="16">
        <f t="shared" ref="O12:O16" si="4">L12*35</f>
        <v>3.9200000000028</v>
      </c>
      <c r="P12" s="16"/>
      <c r="Q12" s="16" t="s">
        <v>837</v>
      </c>
      <c r="R12" s="16" t="s">
        <v>838</v>
      </c>
      <c r="S12" s="16"/>
    </row>
    <row r="13" s="117" customFormat="1" ht="23" customHeight="1" spans="1:19">
      <c r="A13" s="12" t="s">
        <v>80</v>
      </c>
      <c r="B13" s="13"/>
      <c r="C13" s="13"/>
      <c r="D13" s="13"/>
      <c r="E13" s="13"/>
      <c r="F13" s="13"/>
      <c r="G13" s="13"/>
      <c r="H13" s="14"/>
      <c r="I13" s="16"/>
      <c r="J13" s="16"/>
      <c r="K13" s="16"/>
      <c r="L13" s="16"/>
      <c r="M13" s="146"/>
      <c r="N13" s="146"/>
      <c r="O13" s="16"/>
      <c r="P13" s="16"/>
      <c r="Q13" s="16"/>
      <c r="R13" s="16"/>
      <c r="S13" s="16"/>
    </row>
    <row r="14" s="117" customFormat="1" ht="72" spans="1:19">
      <c r="A14" s="16">
        <v>5</v>
      </c>
      <c r="B14" s="16" t="s">
        <v>80</v>
      </c>
      <c r="C14" s="16" t="s">
        <v>63</v>
      </c>
      <c r="D14" s="16" t="s">
        <v>839</v>
      </c>
      <c r="E14" s="16">
        <v>484.095</v>
      </c>
      <c r="F14" s="16" t="s">
        <v>839</v>
      </c>
      <c r="G14" s="16">
        <v>484.175</v>
      </c>
      <c r="H14" s="16" t="s">
        <v>811</v>
      </c>
      <c r="I14" s="16" t="s">
        <v>840</v>
      </c>
      <c r="J14" s="16" t="s">
        <v>841</v>
      </c>
      <c r="K14" s="16" t="s">
        <v>832</v>
      </c>
      <c r="L14" s="16">
        <v>0.08</v>
      </c>
      <c r="M14" s="146">
        <v>153</v>
      </c>
      <c r="N14" s="146">
        <v>130</v>
      </c>
      <c r="O14" s="16">
        <f t="shared" si="4"/>
        <v>2.8</v>
      </c>
      <c r="P14" s="16"/>
      <c r="Q14" s="16" t="s">
        <v>842</v>
      </c>
      <c r="R14" s="16" t="s">
        <v>843</v>
      </c>
      <c r="S14" s="16"/>
    </row>
    <row r="15" s="117" customFormat="1" ht="25" customHeight="1" spans="1:19">
      <c r="A15" s="12" t="s">
        <v>258</v>
      </c>
      <c r="B15" s="13"/>
      <c r="C15" s="13"/>
      <c r="D15" s="13"/>
      <c r="E15" s="13"/>
      <c r="F15" s="13"/>
      <c r="G15" s="13"/>
      <c r="H15" s="14"/>
      <c r="I15" s="16"/>
      <c r="J15" s="16"/>
      <c r="K15" s="16"/>
      <c r="L15" s="16"/>
      <c r="M15" s="146"/>
      <c r="N15" s="146"/>
      <c r="O15" s="16"/>
      <c r="P15" s="16"/>
      <c r="Q15" s="16"/>
      <c r="R15" s="16"/>
      <c r="S15" s="16"/>
    </row>
    <row r="16" s="117" customFormat="1" ht="24" spans="1:19">
      <c r="A16" s="16">
        <v>6</v>
      </c>
      <c r="B16" s="16" t="s">
        <v>258</v>
      </c>
      <c r="C16" s="16" t="s">
        <v>253</v>
      </c>
      <c r="D16" s="16" t="s">
        <v>844</v>
      </c>
      <c r="E16" s="16">
        <v>90.83</v>
      </c>
      <c r="F16" s="16" t="s">
        <v>844</v>
      </c>
      <c r="G16" s="16">
        <v>90.85</v>
      </c>
      <c r="H16" s="16" t="s">
        <v>845</v>
      </c>
      <c r="I16" s="16"/>
      <c r="J16" s="16"/>
      <c r="K16" s="16" t="s">
        <v>819</v>
      </c>
      <c r="L16" s="16">
        <v>0.02</v>
      </c>
      <c r="M16" s="146">
        <v>20</v>
      </c>
      <c r="N16" s="146">
        <v>26</v>
      </c>
      <c r="O16" s="16">
        <f t="shared" si="4"/>
        <v>0.7</v>
      </c>
      <c r="P16" s="16"/>
      <c r="Q16" s="16" t="s">
        <v>846</v>
      </c>
      <c r="R16" s="16" t="s">
        <v>847</v>
      </c>
      <c r="S16" s="16"/>
    </row>
    <row r="17" s="117" customFormat="1" ht="33" customHeight="1" spans="1:19">
      <c r="A17" s="12" t="s">
        <v>428</v>
      </c>
      <c r="B17" s="13"/>
      <c r="C17" s="13"/>
      <c r="D17" s="13"/>
      <c r="E17" s="13"/>
      <c r="F17" s="13"/>
      <c r="G17" s="13"/>
      <c r="H17" s="14"/>
      <c r="I17" s="16"/>
      <c r="J17" s="16"/>
      <c r="K17" s="16"/>
      <c r="L17" s="15">
        <f t="shared" ref="L17:P17" si="5">SUM(L18:L20)</f>
        <v>0.547</v>
      </c>
      <c r="M17" s="145">
        <f t="shared" si="5"/>
        <v>612</v>
      </c>
      <c r="N17" s="145">
        <f t="shared" si="5"/>
        <v>545</v>
      </c>
      <c r="O17" s="15">
        <f t="shared" si="5"/>
        <v>17.995</v>
      </c>
      <c r="P17" s="15">
        <f t="shared" si="5"/>
        <v>0</v>
      </c>
      <c r="Q17" s="16"/>
      <c r="R17" s="16"/>
      <c r="S17" s="16"/>
    </row>
    <row r="18" s="117" customFormat="1" ht="36" spans="1:19">
      <c r="A18" s="16">
        <v>7</v>
      </c>
      <c r="B18" s="16" t="s">
        <v>428</v>
      </c>
      <c r="C18" s="16" t="s">
        <v>163</v>
      </c>
      <c r="D18" s="16" t="s">
        <v>848</v>
      </c>
      <c r="E18" s="16">
        <v>2165.984</v>
      </c>
      <c r="F18" s="16" t="s">
        <v>849</v>
      </c>
      <c r="G18" s="16">
        <v>2166.201</v>
      </c>
      <c r="H18" s="16" t="s">
        <v>811</v>
      </c>
      <c r="I18" s="390" t="s">
        <v>850</v>
      </c>
      <c r="J18" s="16" t="s">
        <v>851</v>
      </c>
      <c r="K18" s="16" t="s">
        <v>852</v>
      </c>
      <c r="L18" s="16">
        <v>0.217</v>
      </c>
      <c r="M18" s="146">
        <v>353</v>
      </c>
      <c r="N18" s="146">
        <v>321</v>
      </c>
      <c r="O18" s="16">
        <f t="shared" ref="O18:O22" si="6">L18*35</f>
        <v>7.595</v>
      </c>
      <c r="P18" s="16"/>
      <c r="Q18" s="16" t="s">
        <v>853</v>
      </c>
      <c r="R18" s="16" t="s">
        <v>854</v>
      </c>
      <c r="S18" s="16"/>
    </row>
    <row r="19" s="117" customFormat="1" ht="36" spans="1:19">
      <c r="A19" s="16">
        <v>8</v>
      </c>
      <c r="B19" s="16" t="s">
        <v>428</v>
      </c>
      <c r="C19" s="16" t="s">
        <v>281</v>
      </c>
      <c r="D19" s="16" t="s">
        <v>723</v>
      </c>
      <c r="E19" s="16">
        <v>168.64</v>
      </c>
      <c r="F19" s="16" t="s">
        <v>723</v>
      </c>
      <c r="G19" s="16">
        <v>168.79</v>
      </c>
      <c r="H19" s="16" t="s">
        <v>811</v>
      </c>
      <c r="I19" s="16" t="s">
        <v>855</v>
      </c>
      <c r="J19" s="16" t="s">
        <v>851</v>
      </c>
      <c r="K19" s="16" t="s">
        <v>852</v>
      </c>
      <c r="L19" s="16">
        <v>0.1</v>
      </c>
      <c r="M19" s="146">
        <v>131</v>
      </c>
      <c r="N19" s="146">
        <v>113</v>
      </c>
      <c r="O19" s="16">
        <f t="shared" si="6"/>
        <v>3.5</v>
      </c>
      <c r="P19" s="16"/>
      <c r="Q19" s="16" t="s">
        <v>856</v>
      </c>
      <c r="R19" s="16" t="s">
        <v>854</v>
      </c>
      <c r="S19" s="16"/>
    </row>
    <row r="20" s="117" customFormat="1" ht="48" spans="1:19">
      <c r="A20" s="16">
        <v>9</v>
      </c>
      <c r="B20" s="16" t="s">
        <v>428</v>
      </c>
      <c r="C20" s="16" t="s">
        <v>857</v>
      </c>
      <c r="D20" s="16" t="s">
        <v>858</v>
      </c>
      <c r="E20" s="16">
        <v>561.6</v>
      </c>
      <c r="F20" s="16" t="s">
        <v>858</v>
      </c>
      <c r="G20" s="16">
        <v>561.83</v>
      </c>
      <c r="H20" s="16" t="s">
        <v>811</v>
      </c>
      <c r="I20" s="390" t="s">
        <v>859</v>
      </c>
      <c r="J20" s="16" t="s">
        <v>851</v>
      </c>
      <c r="K20" s="16" t="s">
        <v>852</v>
      </c>
      <c r="L20" s="16">
        <v>0.23</v>
      </c>
      <c r="M20" s="146">
        <v>128</v>
      </c>
      <c r="N20" s="146">
        <v>111</v>
      </c>
      <c r="O20" s="16">
        <f>L20*30</f>
        <v>6.9</v>
      </c>
      <c r="P20" s="16"/>
      <c r="Q20" s="16" t="s">
        <v>860</v>
      </c>
      <c r="R20" s="16" t="s">
        <v>861</v>
      </c>
      <c r="S20" s="16"/>
    </row>
    <row r="21" s="117" customFormat="1" ht="25" customHeight="1" spans="1:19">
      <c r="A21" s="12" t="s">
        <v>103</v>
      </c>
      <c r="B21" s="13"/>
      <c r="C21" s="13"/>
      <c r="D21" s="13"/>
      <c r="E21" s="13"/>
      <c r="F21" s="13"/>
      <c r="G21" s="13"/>
      <c r="H21" s="14"/>
      <c r="I21" s="16"/>
      <c r="J21" s="16"/>
      <c r="K21" s="16"/>
      <c r="L21" s="16"/>
      <c r="M21" s="146"/>
      <c r="N21" s="146"/>
      <c r="O21" s="16"/>
      <c r="P21" s="16"/>
      <c r="Q21" s="16"/>
      <c r="R21" s="16"/>
      <c r="S21" s="16"/>
    </row>
    <row r="22" s="117" customFormat="1" ht="72" spans="1:19">
      <c r="A22" s="16">
        <v>10</v>
      </c>
      <c r="B22" s="16" t="s">
        <v>103</v>
      </c>
      <c r="C22" s="16" t="s">
        <v>63</v>
      </c>
      <c r="D22" s="16" t="s">
        <v>862</v>
      </c>
      <c r="E22" s="16">
        <v>300.333</v>
      </c>
      <c r="F22" s="16" t="s">
        <v>862</v>
      </c>
      <c r="G22" s="16">
        <v>300.354</v>
      </c>
      <c r="H22" s="16" t="s">
        <v>811</v>
      </c>
      <c r="I22" s="161" t="s">
        <v>863</v>
      </c>
      <c r="J22" s="16" t="s">
        <v>841</v>
      </c>
      <c r="K22" s="16" t="s">
        <v>852</v>
      </c>
      <c r="L22" s="16">
        <v>0.021</v>
      </c>
      <c r="M22" s="146">
        <v>57</v>
      </c>
      <c r="N22" s="146">
        <v>50</v>
      </c>
      <c r="O22" s="16">
        <f t="shared" si="6"/>
        <v>0.735</v>
      </c>
      <c r="P22" s="16"/>
      <c r="Q22" s="16" t="s">
        <v>864</v>
      </c>
      <c r="R22" s="16" t="s">
        <v>865</v>
      </c>
      <c r="S22" s="16"/>
    </row>
    <row r="23" s="117" customFormat="1" ht="24" customHeight="1" spans="1:19">
      <c r="A23" s="12" t="s">
        <v>343</v>
      </c>
      <c r="B23" s="13"/>
      <c r="C23" s="13"/>
      <c r="D23" s="13"/>
      <c r="E23" s="13"/>
      <c r="F23" s="13"/>
      <c r="G23" s="13"/>
      <c r="H23" s="14"/>
      <c r="I23" s="161"/>
      <c r="J23" s="16"/>
      <c r="K23" s="16"/>
      <c r="L23" s="15">
        <f t="shared" ref="L23:N23" si="7">SUM(L24:L24)</f>
        <v>0.12</v>
      </c>
      <c r="M23" s="145">
        <f t="shared" si="7"/>
        <v>85</v>
      </c>
      <c r="N23" s="145">
        <f t="shared" si="7"/>
        <v>72</v>
      </c>
      <c r="O23" s="16">
        <f>O24</f>
        <v>3.6</v>
      </c>
      <c r="P23" s="16">
        <f>P24</f>
        <v>0</v>
      </c>
      <c r="Q23" s="16"/>
      <c r="R23" s="16"/>
      <c r="S23" s="16"/>
    </row>
    <row r="24" s="117" customFormat="1" ht="24" spans="1:19">
      <c r="A24" s="16">
        <v>11</v>
      </c>
      <c r="B24" s="16" t="s">
        <v>343</v>
      </c>
      <c r="C24" s="16" t="s">
        <v>866</v>
      </c>
      <c r="D24" s="16" t="s">
        <v>867</v>
      </c>
      <c r="E24" s="16">
        <v>45.33</v>
      </c>
      <c r="F24" s="16" t="s">
        <v>867</v>
      </c>
      <c r="G24" s="16">
        <v>45.45</v>
      </c>
      <c r="H24" s="16" t="s">
        <v>811</v>
      </c>
      <c r="I24" s="390" t="s">
        <v>868</v>
      </c>
      <c r="J24" s="16" t="s">
        <v>851</v>
      </c>
      <c r="K24" s="16" t="s">
        <v>852</v>
      </c>
      <c r="L24" s="16">
        <v>0.12</v>
      </c>
      <c r="M24" s="146">
        <v>85</v>
      </c>
      <c r="N24" s="146">
        <v>72</v>
      </c>
      <c r="O24" s="16">
        <f>L24*30</f>
        <v>3.6</v>
      </c>
      <c r="P24" s="16"/>
      <c r="Q24" s="16" t="s">
        <v>869</v>
      </c>
      <c r="R24" s="16"/>
      <c r="S24" s="16"/>
    </row>
    <row r="25" s="117" customFormat="1" ht="20" customHeight="1" spans="1:19">
      <c r="A25" s="12" t="s">
        <v>355</v>
      </c>
      <c r="B25" s="13"/>
      <c r="C25" s="13"/>
      <c r="D25" s="13"/>
      <c r="E25" s="13"/>
      <c r="F25" s="13"/>
      <c r="G25" s="13"/>
      <c r="H25" s="14"/>
      <c r="I25" s="161"/>
      <c r="J25" s="16"/>
      <c r="K25" s="16"/>
      <c r="L25" s="15">
        <f t="shared" ref="L25:P25" si="8">L26</f>
        <v>0.2</v>
      </c>
      <c r="M25" s="145">
        <f t="shared" si="8"/>
        <v>23</v>
      </c>
      <c r="N25" s="145">
        <f t="shared" si="8"/>
        <v>20</v>
      </c>
      <c r="O25" s="15">
        <f t="shared" si="8"/>
        <v>6</v>
      </c>
      <c r="P25" s="15">
        <f t="shared" si="8"/>
        <v>0</v>
      </c>
      <c r="Q25" s="16"/>
      <c r="R25" s="16"/>
      <c r="S25" s="16"/>
    </row>
    <row r="26" s="117" customFormat="1" ht="28" customHeight="1" spans="1:19">
      <c r="A26" s="16">
        <v>12</v>
      </c>
      <c r="B26" s="16" t="s">
        <v>355</v>
      </c>
      <c r="C26" s="16" t="s">
        <v>533</v>
      </c>
      <c r="D26" s="16" t="s">
        <v>870</v>
      </c>
      <c r="E26" s="16">
        <v>20.65</v>
      </c>
      <c r="F26" s="16" t="s">
        <v>870</v>
      </c>
      <c r="G26" s="16">
        <v>20.85</v>
      </c>
      <c r="H26" s="16" t="s">
        <v>845</v>
      </c>
      <c r="I26" s="16" t="s">
        <v>871</v>
      </c>
      <c r="J26" s="16" t="s">
        <v>851</v>
      </c>
      <c r="K26" s="16" t="s">
        <v>872</v>
      </c>
      <c r="L26" s="16">
        <v>0.2</v>
      </c>
      <c r="M26" s="146">
        <v>23</v>
      </c>
      <c r="N26" s="146">
        <v>20</v>
      </c>
      <c r="O26" s="16">
        <f>L26*30</f>
        <v>6</v>
      </c>
      <c r="P26" s="16"/>
      <c r="Q26" s="16" t="s">
        <v>873</v>
      </c>
      <c r="R26" s="16"/>
      <c r="S26" s="168" t="s">
        <v>874</v>
      </c>
    </row>
    <row r="27" s="117" customFormat="1" ht="29" customHeight="1" spans="1:19">
      <c r="A27" s="155" t="s">
        <v>200</v>
      </c>
      <c r="B27" s="156"/>
      <c r="C27" s="156"/>
      <c r="D27" s="156"/>
      <c r="E27" s="156"/>
      <c r="F27" s="156"/>
      <c r="G27" s="156"/>
      <c r="H27" s="157"/>
      <c r="I27" s="92"/>
      <c r="J27" s="92"/>
      <c r="K27" s="92"/>
      <c r="L27" s="162">
        <f t="shared" ref="L27:P27" si="9">SUM(L28:L36)</f>
        <v>0.567000000000065</v>
      </c>
      <c r="M27" s="163">
        <f t="shared" si="9"/>
        <v>2095</v>
      </c>
      <c r="N27" s="163">
        <f t="shared" si="9"/>
        <v>1853</v>
      </c>
      <c r="O27" s="162">
        <f t="shared" si="9"/>
        <v>0</v>
      </c>
      <c r="P27" s="162">
        <f t="shared" si="9"/>
        <v>1389.75</v>
      </c>
      <c r="Q27" s="92"/>
      <c r="R27" s="16"/>
      <c r="S27" s="92"/>
    </row>
    <row r="28" s="117" customFormat="1" ht="24" spans="1:19">
      <c r="A28" s="20">
        <v>13</v>
      </c>
      <c r="B28" s="20" t="s">
        <v>200</v>
      </c>
      <c r="C28" s="20" t="s">
        <v>63</v>
      </c>
      <c r="D28" s="16"/>
      <c r="E28" s="16">
        <v>419.437</v>
      </c>
      <c r="F28" s="16"/>
      <c r="G28" s="16">
        <v>419.482</v>
      </c>
      <c r="H28" s="16" t="s">
        <v>811</v>
      </c>
      <c r="I28" s="390" t="s">
        <v>875</v>
      </c>
      <c r="J28" s="16" t="s">
        <v>813</v>
      </c>
      <c r="K28" s="16" t="s">
        <v>832</v>
      </c>
      <c r="L28" s="16">
        <v>0.0450000000000159</v>
      </c>
      <c r="M28" s="146">
        <v>16</v>
      </c>
      <c r="N28" s="146">
        <v>10</v>
      </c>
      <c r="O28" s="94"/>
      <c r="P28" s="20">
        <f>(N28+N29+N30+N31+N32+N33+N34+N35)*75%</f>
        <v>585.75</v>
      </c>
      <c r="Q28" s="16" t="s">
        <v>876</v>
      </c>
      <c r="R28" s="16"/>
      <c r="S28" s="20"/>
    </row>
    <row r="29" s="117" customFormat="1" ht="24" spans="1:19">
      <c r="A29" s="23"/>
      <c r="B29" s="23"/>
      <c r="C29" s="23"/>
      <c r="D29" s="16"/>
      <c r="E29" s="16">
        <v>421.75</v>
      </c>
      <c r="F29" s="16"/>
      <c r="G29" s="16">
        <v>421.83</v>
      </c>
      <c r="H29" s="16" t="s">
        <v>811</v>
      </c>
      <c r="I29" s="390" t="s">
        <v>877</v>
      </c>
      <c r="J29" s="16" t="s">
        <v>210</v>
      </c>
      <c r="K29" s="16" t="s">
        <v>832</v>
      </c>
      <c r="L29" s="16">
        <v>0.0799999999999841</v>
      </c>
      <c r="M29" s="146">
        <v>77</v>
      </c>
      <c r="N29" s="146">
        <v>62</v>
      </c>
      <c r="O29" s="164"/>
      <c r="P29" s="23"/>
      <c r="Q29" s="16" t="s">
        <v>878</v>
      </c>
      <c r="R29" s="16"/>
      <c r="S29" s="23"/>
    </row>
    <row r="30" s="117" customFormat="1" ht="36" spans="1:19">
      <c r="A30" s="23"/>
      <c r="B30" s="23"/>
      <c r="C30" s="23"/>
      <c r="D30" s="16"/>
      <c r="E30" s="16">
        <v>423.37</v>
      </c>
      <c r="F30" s="16"/>
      <c r="G30" s="16">
        <v>423.43</v>
      </c>
      <c r="H30" s="16" t="s">
        <v>811</v>
      </c>
      <c r="I30" s="390" t="s">
        <v>879</v>
      </c>
      <c r="J30" s="16" t="s">
        <v>813</v>
      </c>
      <c r="K30" s="16" t="s">
        <v>832</v>
      </c>
      <c r="L30" s="16">
        <v>0.0600000000000023</v>
      </c>
      <c r="M30" s="146">
        <v>31</v>
      </c>
      <c r="N30" s="146">
        <v>21</v>
      </c>
      <c r="O30" s="164"/>
      <c r="P30" s="23"/>
      <c r="Q30" s="16" t="s">
        <v>880</v>
      </c>
      <c r="R30" s="16"/>
      <c r="S30" s="23"/>
    </row>
    <row r="31" s="117" customFormat="1" ht="24" spans="1:19">
      <c r="A31" s="23"/>
      <c r="B31" s="23"/>
      <c r="C31" s="23"/>
      <c r="D31" s="16"/>
      <c r="E31" s="16">
        <v>429.96</v>
      </c>
      <c r="F31" s="16"/>
      <c r="G31" s="16">
        <v>429.98</v>
      </c>
      <c r="H31" s="16" t="s">
        <v>811</v>
      </c>
      <c r="I31" s="390" t="s">
        <v>881</v>
      </c>
      <c r="J31" s="16" t="s">
        <v>813</v>
      </c>
      <c r="K31" s="16" t="s">
        <v>832</v>
      </c>
      <c r="L31" s="16">
        <v>0.0200000000000387</v>
      </c>
      <c r="M31" s="146">
        <v>14</v>
      </c>
      <c r="N31" s="146">
        <v>13</v>
      </c>
      <c r="O31" s="164"/>
      <c r="P31" s="23"/>
      <c r="Q31" s="16" t="s">
        <v>882</v>
      </c>
      <c r="R31" s="16"/>
      <c r="S31" s="23"/>
    </row>
    <row r="32" s="117" customFormat="1" ht="36" spans="1:19">
      <c r="A32" s="23"/>
      <c r="B32" s="23"/>
      <c r="C32" s="23"/>
      <c r="D32" s="16"/>
      <c r="E32" s="16">
        <v>430.45</v>
      </c>
      <c r="F32" s="16"/>
      <c r="G32" s="16">
        <v>430.56</v>
      </c>
      <c r="H32" s="16" t="s">
        <v>811</v>
      </c>
      <c r="I32" s="390" t="s">
        <v>883</v>
      </c>
      <c r="J32" s="16" t="s">
        <v>813</v>
      </c>
      <c r="K32" s="16" t="s">
        <v>832</v>
      </c>
      <c r="L32" s="16">
        <v>0.110000000000014</v>
      </c>
      <c r="M32" s="146">
        <v>166</v>
      </c>
      <c r="N32" s="146">
        <v>133</v>
      </c>
      <c r="O32" s="164"/>
      <c r="P32" s="23"/>
      <c r="Q32" s="16" t="s">
        <v>884</v>
      </c>
      <c r="R32" s="16"/>
      <c r="S32" s="23"/>
    </row>
    <row r="33" s="117" customFormat="1" ht="36" spans="1:19">
      <c r="A33" s="23"/>
      <c r="B33" s="23"/>
      <c r="C33" s="23"/>
      <c r="D33" s="16"/>
      <c r="E33" s="16">
        <v>434.81</v>
      </c>
      <c r="F33" s="16"/>
      <c r="G33" s="16">
        <v>434.905</v>
      </c>
      <c r="H33" s="16" t="s">
        <v>811</v>
      </c>
      <c r="I33" s="390" t="s">
        <v>885</v>
      </c>
      <c r="J33" s="16" t="s">
        <v>813</v>
      </c>
      <c r="K33" s="16" t="s">
        <v>832</v>
      </c>
      <c r="L33" s="16">
        <v>0.0949999999999704</v>
      </c>
      <c r="M33" s="146">
        <v>157</v>
      </c>
      <c r="N33" s="146">
        <v>125</v>
      </c>
      <c r="O33" s="164"/>
      <c r="P33" s="23"/>
      <c r="Q33" s="16" t="s">
        <v>886</v>
      </c>
      <c r="R33" s="16"/>
      <c r="S33" s="23"/>
    </row>
    <row r="34" s="117" customFormat="1" ht="36" spans="1:19">
      <c r="A34" s="23"/>
      <c r="B34" s="23"/>
      <c r="C34" s="23"/>
      <c r="D34" s="16"/>
      <c r="E34" s="16">
        <v>449.13</v>
      </c>
      <c r="F34" s="16"/>
      <c r="G34" s="16">
        <v>449.16</v>
      </c>
      <c r="H34" s="16" t="s">
        <v>811</v>
      </c>
      <c r="I34" s="390" t="s">
        <v>887</v>
      </c>
      <c r="J34" s="16" t="s">
        <v>813</v>
      </c>
      <c r="K34" s="16" t="s">
        <v>832</v>
      </c>
      <c r="L34" s="16">
        <v>0.0300000000000296</v>
      </c>
      <c r="M34" s="146">
        <v>40</v>
      </c>
      <c r="N34" s="146">
        <v>36</v>
      </c>
      <c r="O34" s="164"/>
      <c r="P34" s="23"/>
      <c r="Q34" s="16" t="s">
        <v>888</v>
      </c>
      <c r="R34" s="16"/>
      <c r="S34" s="23"/>
    </row>
    <row r="35" s="117" customFormat="1" ht="36" spans="1:19">
      <c r="A35" s="23"/>
      <c r="B35" s="23"/>
      <c r="C35" s="23"/>
      <c r="D35" s="16"/>
      <c r="E35" s="16">
        <v>428.143</v>
      </c>
      <c r="F35" s="16"/>
      <c r="G35" s="16">
        <v>428.18</v>
      </c>
      <c r="H35" s="16" t="s">
        <v>811</v>
      </c>
      <c r="I35" s="390" t="s">
        <v>889</v>
      </c>
      <c r="J35" s="16" t="s">
        <v>813</v>
      </c>
      <c r="K35" s="16" t="s">
        <v>832</v>
      </c>
      <c r="L35" s="16">
        <v>0.0370000000000346</v>
      </c>
      <c r="M35" s="146">
        <v>433</v>
      </c>
      <c r="N35" s="146">
        <v>381</v>
      </c>
      <c r="O35" s="165"/>
      <c r="P35" s="22"/>
      <c r="Q35" s="16" t="s">
        <v>890</v>
      </c>
      <c r="R35" s="16"/>
      <c r="S35" s="23"/>
    </row>
    <row r="36" s="117" customFormat="1" ht="96" spans="1:19">
      <c r="A36" s="23"/>
      <c r="B36" s="23"/>
      <c r="C36" s="23"/>
      <c r="D36" s="16"/>
      <c r="E36" s="16">
        <v>439.67</v>
      </c>
      <c r="F36" s="16"/>
      <c r="G36" s="16">
        <v>439.76</v>
      </c>
      <c r="H36" s="16" t="s">
        <v>811</v>
      </c>
      <c r="I36" s="390" t="s">
        <v>891</v>
      </c>
      <c r="J36" s="16" t="s">
        <v>210</v>
      </c>
      <c r="K36" s="16" t="s">
        <v>832</v>
      </c>
      <c r="L36" s="16">
        <v>0.089999999999975</v>
      </c>
      <c r="M36" s="146">
        <f>892.96*1.3</f>
        <v>1161</v>
      </c>
      <c r="N36" s="146">
        <f>892.96*1.2</f>
        <v>1072</v>
      </c>
      <c r="O36" s="90"/>
      <c r="P36" s="16">
        <f>N36*75%</f>
        <v>804</v>
      </c>
      <c r="Q36" s="16" t="s">
        <v>892</v>
      </c>
      <c r="R36" s="16"/>
      <c r="S36" s="23"/>
    </row>
  </sheetData>
  <autoFilter xmlns:etc="http://www.wps.cn/officeDocument/2017/etCustomData" ref="A2:S36" etc:filterBottomFollowUsedRange="0">
    <extLst/>
  </autoFilter>
  <mergeCells count="25">
    <mergeCell ref="A1:R1"/>
    <mergeCell ref="A3:J3"/>
    <mergeCell ref="A4:H4"/>
    <mergeCell ref="A10:H10"/>
    <mergeCell ref="A13:H13"/>
    <mergeCell ref="A15:H15"/>
    <mergeCell ref="A17:H17"/>
    <mergeCell ref="A21:H21"/>
    <mergeCell ref="A23:H23"/>
    <mergeCell ref="A25:H25"/>
    <mergeCell ref="A27:H27"/>
    <mergeCell ref="A5:A6"/>
    <mergeCell ref="A7:A9"/>
    <mergeCell ref="A28:A36"/>
    <mergeCell ref="B5:B6"/>
    <mergeCell ref="B7:B9"/>
    <mergeCell ref="B28:B36"/>
    <mergeCell ref="C28:C36"/>
    <mergeCell ref="O5:O6"/>
    <mergeCell ref="O7:O9"/>
    <mergeCell ref="O28:O35"/>
    <mergeCell ref="P5:P6"/>
    <mergeCell ref="P7:P9"/>
    <mergeCell ref="P28:P35"/>
    <mergeCell ref="S28:S36"/>
  </mergeCells>
  <pageMargins left="0.314583333333333" right="0.354166666666667" top="0.236111111111111" bottom="0.590277777777778" header="0.904861111111111" footer="0.275"/>
  <pageSetup paperSize="9" scale="63" fitToHeight="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view="pageBreakPreview" zoomScaleNormal="100" workbookViewId="0">
      <selection activeCell="H26" sqref="H26"/>
    </sheetView>
  </sheetViews>
  <sheetFormatPr defaultColWidth="9" defaultRowHeight="13.5"/>
  <cols>
    <col min="1" max="1" width="5.88333333333333" style="136" customWidth="1"/>
    <col min="2" max="2" width="11.25" style="136" customWidth="1"/>
    <col min="3" max="3" width="9" style="136"/>
    <col min="4" max="5" width="12" style="136" customWidth="1"/>
    <col min="6" max="6" width="10.6333333333333" style="136" customWidth="1"/>
    <col min="7" max="7" width="10.8833333333333" style="136" customWidth="1"/>
    <col min="8" max="8" width="13.8833333333333" style="137" customWidth="1"/>
    <col min="9" max="10" width="68.75" style="136" customWidth="1"/>
    <col min="11" max="16384" width="9" style="136"/>
  </cols>
  <sheetData>
    <row r="1" ht="43" customHeight="1" spans="1:10">
      <c r="A1" s="118" t="s">
        <v>893</v>
      </c>
      <c r="B1" s="118"/>
      <c r="C1" s="118"/>
      <c r="D1" s="138"/>
      <c r="E1" s="138"/>
      <c r="F1" s="139"/>
      <c r="G1" s="118"/>
      <c r="H1" s="140"/>
      <c r="I1" s="118"/>
      <c r="J1" s="149"/>
    </row>
    <row r="2" s="134" customFormat="1" ht="27" spans="1:10">
      <c r="A2" s="141" t="s">
        <v>1</v>
      </c>
      <c r="B2" s="141" t="s">
        <v>27</v>
      </c>
      <c r="C2" s="141" t="s">
        <v>649</v>
      </c>
      <c r="D2" s="142" t="s">
        <v>49</v>
      </c>
      <c r="E2" s="142" t="s">
        <v>652</v>
      </c>
      <c r="F2" s="141" t="s">
        <v>804</v>
      </c>
      <c r="G2" s="141" t="s">
        <v>805</v>
      </c>
      <c r="H2" s="143" t="s">
        <v>806</v>
      </c>
      <c r="I2" s="141" t="s">
        <v>894</v>
      </c>
      <c r="J2" s="141" t="s">
        <v>40</v>
      </c>
    </row>
    <row r="3" s="135" customFormat="1" ht="24" customHeight="1" spans="1:10">
      <c r="A3" s="15" t="s">
        <v>55</v>
      </c>
      <c r="B3" s="15"/>
      <c r="C3" s="15"/>
      <c r="D3" s="144"/>
      <c r="E3" s="144"/>
      <c r="F3" s="16"/>
      <c r="G3" s="15">
        <f>SUM(G5:G43)</f>
        <v>2.772</v>
      </c>
      <c r="H3" s="145">
        <f>H4+H17+H19+H25+H27+H33+H35+H39+H41</f>
        <v>1326</v>
      </c>
      <c r="I3" s="15"/>
      <c r="J3" s="15"/>
    </row>
    <row r="4" s="135" customFormat="1" ht="12" spans="1:10">
      <c r="A4" s="15" t="s">
        <v>152</v>
      </c>
      <c r="B4" s="15"/>
      <c r="C4" s="15"/>
      <c r="D4" s="144"/>
      <c r="E4" s="144"/>
      <c r="F4" s="16"/>
      <c r="G4" s="15"/>
      <c r="H4" s="145">
        <f>SUM(H5:H16)</f>
        <v>141</v>
      </c>
      <c r="I4" s="15"/>
      <c r="J4" s="15"/>
    </row>
    <row r="5" s="135" customFormat="1" ht="12" spans="1:10">
      <c r="A5" s="16">
        <v>1</v>
      </c>
      <c r="B5" s="16" t="s">
        <v>157</v>
      </c>
      <c r="C5" s="16" t="s">
        <v>396</v>
      </c>
      <c r="D5" s="24" t="s">
        <v>895</v>
      </c>
      <c r="E5" s="24" t="s">
        <v>896</v>
      </c>
      <c r="F5" s="16" t="s">
        <v>897</v>
      </c>
      <c r="G5" s="16">
        <v>0.1</v>
      </c>
      <c r="H5" s="146">
        <v>13</v>
      </c>
      <c r="I5" s="16" t="s">
        <v>898</v>
      </c>
      <c r="J5" s="16" t="s">
        <v>899</v>
      </c>
    </row>
    <row r="6" s="135" customFormat="1" ht="24" spans="1:10">
      <c r="A6" s="16">
        <v>2</v>
      </c>
      <c r="B6" s="16"/>
      <c r="C6" s="16"/>
      <c r="D6" s="24" t="s">
        <v>900</v>
      </c>
      <c r="E6" s="24" t="s">
        <v>901</v>
      </c>
      <c r="F6" s="16" t="s">
        <v>897</v>
      </c>
      <c r="G6" s="16">
        <v>0.05</v>
      </c>
      <c r="H6" s="146">
        <v>17</v>
      </c>
      <c r="I6" s="16" t="s">
        <v>902</v>
      </c>
      <c r="J6" s="16" t="s">
        <v>903</v>
      </c>
    </row>
    <row r="7" s="135" customFormat="1" ht="24" spans="1:10">
      <c r="A7" s="16">
        <v>3</v>
      </c>
      <c r="B7" s="16"/>
      <c r="C7" s="16"/>
      <c r="D7" s="24" t="s">
        <v>904</v>
      </c>
      <c r="E7" s="24" t="s">
        <v>905</v>
      </c>
      <c r="F7" s="16" t="s">
        <v>906</v>
      </c>
      <c r="G7" s="40">
        <v>0.2</v>
      </c>
      <c r="H7" s="146">
        <v>5</v>
      </c>
      <c r="I7" s="16" t="s">
        <v>907</v>
      </c>
      <c r="J7" s="16" t="s">
        <v>908</v>
      </c>
    </row>
    <row r="8" s="135" customFormat="1" ht="24" spans="1:10">
      <c r="A8" s="16">
        <v>4</v>
      </c>
      <c r="B8" s="16"/>
      <c r="C8" s="16"/>
      <c r="D8" s="24" t="s">
        <v>909</v>
      </c>
      <c r="E8" s="24" t="s">
        <v>910</v>
      </c>
      <c r="F8" s="16" t="s">
        <v>906</v>
      </c>
      <c r="G8" s="40">
        <v>0.1</v>
      </c>
      <c r="H8" s="146">
        <v>4</v>
      </c>
      <c r="I8" s="16" t="s">
        <v>911</v>
      </c>
      <c r="J8" s="16" t="s">
        <v>912</v>
      </c>
    </row>
    <row r="9" s="135" customFormat="1" ht="24" spans="1:10">
      <c r="A9" s="40">
        <v>2</v>
      </c>
      <c r="B9" s="40" t="s">
        <v>157</v>
      </c>
      <c r="C9" s="40" t="s">
        <v>331</v>
      </c>
      <c r="D9" s="24" t="s">
        <v>913</v>
      </c>
      <c r="E9" s="24" t="s">
        <v>914</v>
      </c>
      <c r="F9" s="16" t="s">
        <v>906</v>
      </c>
      <c r="G9" s="16">
        <v>0.19</v>
      </c>
      <c r="H9" s="146">
        <v>28</v>
      </c>
      <c r="I9" s="16" t="s">
        <v>915</v>
      </c>
      <c r="J9" s="16" t="s">
        <v>916</v>
      </c>
    </row>
    <row r="10" s="135" customFormat="1" ht="12" spans="1:10">
      <c r="A10" s="40">
        <v>6</v>
      </c>
      <c r="B10" s="40"/>
      <c r="C10" s="40"/>
      <c r="D10" s="24" t="s">
        <v>917</v>
      </c>
      <c r="E10" s="24" t="s">
        <v>918</v>
      </c>
      <c r="F10" s="16" t="s">
        <v>919</v>
      </c>
      <c r="G10" s="16">
        <v>0.018</v>
      </c>
      <c r="H10" s="146">
        <v>13</v>
      </c>
      <c r="I10" s="16" t="s">
        <v>920</v>
      </c>
      <c r="J10" s="16" t="s">
        <v>921</v>
      </c>
    </row>
    <row r="11" s="135" customFormat="1" ht="12" spans="1:10">
      <c r="A11" s="40">
        <v>7</v>
      </c>
      <c r="B11" s="40"/>
      <c r="C11" s="40"/>
      <c r="D11" s="24" t="s">
        <v>922</v>
      </c>
      <c r="E11" s="24" t="s">
        <v>923</v>
      </c>
      <c r="F11" s="16" t="s">
        <v>919</v>
      </c>
      <c r="G11" s="16">
        <v>0.033</v>
      </c>
      <c r="H11" s="146">
        <v>13</v>
      </c>
      <c r="I11" s="16" t="s">
        <v>924</v>
      </c>
      <c r="J11" s="16" t="s">
        <v>925</v>
      </c>
    </row>
    <row r="12" s="135" customFormat="1" ht="12" spans="1:10">
      <c r="A12" s="40">
        <v>3</v>
      </c>
      <c r="B12" s="40" t="s">
        <v>157</v>
      </c>
      <c r="C12" s="40" t="s">
        <v>98</v>
      </c>
      <c r="D12" s="24" t="s">
        <v>926</v>
      </c>
      <c r="E12" s="24" t="s">
        <v>927</v>
      </c>
      <c r="F12" s="16" t="s">
        <v>928</v>
      </c>
      <c r="G12" s="16">
        <v>0.08</v>
      </c>
      <c r="H12" s="146">
        <v>27</v>
      </c>
      <c r="I12" s="16" t="s">
        <v>929</v>
      </c>
      <c r="J12" s="16" t="s">
        <v>930</v>
      </c>
    </row>
    <row r="13" s="135" customFormat="1" ht="24" spans="1:10">
      <c r="A13" s="40">
        <v>9</v>
      </c>
      <c r="B13" s="40"/>
      <c r="C13" s="40"/>
      <c r="D13" s="24" t="s">
        <v>931</v>
      </c>
      <c r="E13" s="24" t="s">
        <v>932</v>
      </c>
      <c r="F13" s="16" t="s">
        <v>933</v>
      </c>
      <c r="G13" s="16">
        <v>0.06</v>
      </c>
      <c r="H13" s="146">
        <v>7</v>
      </c>
      <c r="I13" s="16" t="s">
        <v>934</v>
      </c>
      <c r="J13" s="16" t="s">
        <v>935</v>
      </c>
    </row>
    <row r="14" s="135" customFormat="1" ht="12" spans="1:10">
      <c r="A14" s="40">
        <v>10</v>
      </c>
      <c r="B14" s="40"/>
      <c r="C14" s="40"/>
      <c r="D14" s="24" t="s">
        <v>936</v>
      </c>
      <c r="E14" s="24" t="s">
        <v>937</v>
      </c>
      <c r="F14" s="16" t="s">
        <v>938</v>
      </c>
      <c r="G14" s="16">
        <v>0.02</v>
      </c>
      <c r="H14" s="146">
        <v>3</v>
      </c>
      <c r="I14" s="16" t="s">
        <v>939</v>
      </c>
      <c r="J14" s="16" t="s">
        <v>940</v>
      </c>
    </row>
    <row r="15" s="135" customFormat="1" ht="12" spans="1:10">
      <c r="A15" s="40">
        <v>11</v>
      </c>
      <c r="B15" s="40"/>
      <c r="C15" s="40"/>
      <c r="D15" s="24" t="s">
        <v>941</v>
      </c>
      <c r="E15" s="24" t="s">
        <v>942</v>
      </c>
      <c r="F15" s="16" t="s">
        <v>943</v>
      </c>
      <c r="G15" s="16">
        <v>0.245</v>
      </c>
      <c r="H15" s="146">
        <v>6</v>
      </c>
      <c r="I15" s="16" t="s">
        <v>944</v>
      </c>
      <c r="J15" s="16" t="s">
        <v>945</v>
      </c>
    </row>
    <row r="16" s="135" customFormat="1" ht="12" spans="1:10">
      <c r="A16" s="40">
        <v>4</v>
      </c>
      <c r="B16" s="40" t="s">
        <v>157</v>
      </c>
      <c r="C16" s="40" t="s">
        <v>281</v>
      </c>
      <c r="D16" s="24" t="s">
        <v>946</v>
      </c>
      <c r="E16" s="24" t="s">
        <v>947</v>
      </c>
      <c r="F16" s="16" t="s">
        <v>948</v>
      </c>
      <c r="G16" s="16">
        <v>0.273</v>
      </c>
      <c r="H16" s="146">
        <v>5</v>
      </c>
      <c r="I16" s="16" t="s">
        <v>949</v>
      </c>
      <c r="J16" s="16" t="s">
        <v>950</v>
      </c>
    </row>
    <row r="17" s="135" customFormat="1" ht="12" spans="1:10">
      <c r="A17" s="69" t="s">
        <v>194</v>
      </c>
      <c r="B17" s="69"/>
      <c r="C17" s="69"/>
      <c r="D17" s="24"/>
      <c r="E17" s="24"/>
      <c r="F17" s="16"/>
      <c r="G17" s="16"/>
      <c r="H17" s="145">
        <f>H18</f>
        <v>74</v>
      </c>
      <c r="I17" s="16"/>
      <c r="J17" s="16"/>
    </row>
    <row r="18" s="135" customFormat="1" ht="36" spans="1:10">
      <c r="A18" s="16">
        <v>5</v>
      </c>
      <c r="B18" s="40" t="s">
        <v>200</v>
      </c>
      <c r="C18" s="16" t="s">
        <v>98</v>
      </c>
      <c r="D18" s="24" t="s">
        <v>951</v>
      </c>
      <c r="E18" s="24" t="s">
        <v>952</v>
      </c>
      <c r="F18" s="24" t="s">
        <v>953</v>
      </c>
      <c r="G18" s="40">
        <v>0.05</v>
      </c>
      <c r="H18" s="146">
        <v>74</v>
      </c>
      <c r="I18" s="150" t="s">
        <v>954</v>
      </c>
      <c r="J18" s="16" t="s">
        <v>955</v>
      </c>
    </row>
    <row r="19" s="135" customFormat="1" ht="12" spans="1:10">
      <c r="A19" s="15" t="s">
        <v>313</v>
      </c>
      <c r="B19" s="15"/>
      <c r="C19" s="15"/>
      <c r="D19" s="24"/>
      <c r="E19" s="24"/>
      <c r="F19" s="24"/>
      <c r="G19" s="40"/>
      <c r="H19" s="145">
        <f>H20+H21+H22+H23+H24</f>
        <v>136</v>
      </c>
      <c r="I19" s="150"/>
      <c r="J19" s="16"/>
    </row>
    <row r="20" s="135" customFormat="1" ht="12" spans="1:10">
      <c r="A20" s="16">
        <v>6</v>
      </c>
      <c r="B20" s="16" t="s">
        <v>318</v>
      </c>
      <c r="C20" s="16" t="s">
        <v>396</v>
      </c>
      <c r="D20" s="24" t="s">
        <v>956</v>
      </c>
      <c r="E20" s="24" t="s">
        <v>957</v>
      </c>
      <c r="F20" s="24" t="s">
        <v>832</v>
      </c>
      <c r="G20" s="40">
        <v>0.112</v>
      </c>
      <c r="H20" s="146">
        <v>55</v>
      </c>
      <c r="I20" s="150" t="s">
        <v>958</v>
      </c>
      <c r="J20" s="16" t="s">
        <v>837</v>
      </c>
    </row>
    <row r="21" s="135" customFormat="1" ht="12" spans="1:10">
      <c r="A21" s="16">
        <v>7</v>
      </c>
      <c r="B21" s="16" t="s">
        <v>318</v>
      </c>
      <c r="C21" s="16" t="s">
        <v>828</v>
      </c>
      <c r="D21" s="24" t="s">
        <v>959</v>
      </c>
      <c r="E21" s="24" t="s">
        <v>960</v>
      </c>
      <c r="F21" s="24" t="s">
        <v>832</v>
      </c>
      <c r="G21" s="40">
        <v>0.057</v>
      </c>
      <c r="H21" s="146">
        <v>35</v>
      </c>
      <c r="I21" s="150" t="s">
        <v>961</v>
      </c>
      <c r="J21" s="96" t="s">
        <v>833</v>
      </c>
    </row>
    <row r="22" s="135" customFormat="1" ht="12" spans="1:10">
      <c r="A22" s="16">
        <v>16</v>
      </c>
      <c r="B22" s="16"/>
      <c r="C22" s="16" t="s">
        <v>828</v>
      </c>
      <c r="D22" s="16" t="s">
        <v>962</v>
      </c>
      <c r="E22" s="16" t="s">
        <v>963</v>
      </c>
      <c r="F22" s="16" t="s">
        <v>819</v>
      </c>
      <c r="G22" s="16">
        <v>0.05</v>
      </c>
      <c r="H22" s="146">
        <v>18</v>
      </c>
      <c r="I22" s="16" t="s">
        <v>964</v>
      </c>
      <c r="J22" s="16" t="s">
        <v>965</v>
      </c>
    </row>
    <row r="23" s="135" customFormat="1" ht="12" spans="1:10">
      <c r="A23" s="16">
        <v>17</v>
      </c>
      <c r="B23" s="16"/>
      <c r="C23" s="16" t="s">
        <v>828</v>
      </c>
      <c r="D23" s="16" t="s">
        <v>966</v>
      </c>
      <c r="E23" s="16" t="s">
        <v>967</v>
      </c>
      <c r="F23" s="16" t="s">
        <v>832</v>
      </c>
      <c r="G23" s="16">
        <v>0.04</v>
      </c>
      <c r="H23" s="146">
        <v>21</v>
      </c>
      <c r="I23" s="16" t="s">
        <v>968</v>
      </c>
      <c r="J23" s="16" t="s">
        <v>837</v>
      </c>
    </row>
    <row r="24" s="135" customFormat="1" ht="12" spans="1:10">
      <c r="A24" s="16">
        <v>8</v>
      </c>
      <c r="B24" s="16" t="s">
        <v>318</v>
      </c>
      <c r="C24" s="16" t="s">
        <v>415</v>
      </c>
      <c r="D24" s="16" t="s">
        <v>969</v>
      </c>
      <c r="E24" s="16" t="s">
        <v>970</v>
      </c>
      <c r="F24" s="16" t="s">
        <v>971</v>
      </c>
      <c r="G24" s="16">
        <v>0.03</v>
      </c>
      <c r="H24" s="146">
        <v>7</v>
      </c>
      <c r="I24" s="16" t="s">
        <v>972</v>
      </c>
      <c r="J24" s="16" t="s">
        <v>965</v>
      </c>
    </row>
    <row r="25" s="135" customFormat="1" ht="12" spans="1:10">
      <c r="A25" s="69" t="s">
        <v>252</v>
      </c>
      <c r="B25" s="69"/>
      <c r="C25" s="69"/>
      <c r="D25" s="24"/>
      <c r="E25" s="24"/>
      <c r="F25" s="24"/>
      <c r="G25" s="40"/>
      <c r="H25" s="145">
        <f>H26</f>
        <v>20</v>
      </c>
      <c r="I25" s="150"/>
      <c r="J25" s="16"/>
    </row>
    <row r="26" s="135" customFormat="1" ht="36" spans="1:10">
      <c r="A26" s="16">
        <v>9</v>
      </c>
      <c r="B26" s="16" t="s">
        <v>258</v>
      </c>
      <c r="C26" s="16" t="s">
        <v>253</v>
      </c>
      <c r="D26" s="16" t="s">
        <v>973</v>
      </c>
      <c r="E26" s="16" t="s">
        <v>974</v>
      </c>
      <c r="F26" s="16" t="s">
        <v>975</v>
      </c>
      <c r="G26" s="16">
        <v>0.02</v>
      </c>
      <c r="H26" s="146">
        <v>20</v>
      </c>
      <c r="I26" s="16" t="s">
        <v>976</v>
      </c>
      <c r="J26" s="16" t="s">
        <v>846</v>
      </c>
    </row>
    <row r="27" s="135" customFormat="1" ht="12" spans="1:10">
      <c r="A27" s="69" t="s">
        <v>62</v>
      </c>
      <c r="B27" s="69"/>
      <c r="C27" s="69"/>
      <c r="D27" s="16"/>
      <c r="E27" s="16"/>
      <c r="F27" s="16"/>
      <c r="G27" s="16"/>
      <c r="H27" s="145">
        <f>H28+H29+H30+H31+H32</f>
        <v>48</v>
      </c>
      <c r="I27" s="16"/>
      <c r="J27" s="16"/>
    </row>
    <row r="28" s="135" customFormat="1" ht="12" spans="1:10">
      <c r="A28" s="16">
        <v>10</v>
      </c>
      <c r="B28" s="16" t="s">
        <v>70</v>
      </c>
      <c r="C28" s="16" t="s">
        <v>63</v>
      </c>
      <c r="D28" s="16" t="s">
        <v>977</v>
      </c>
      <c r="E28" s="16" t="s">
        <v>978</v>
      </c>
      <c r="F28" s="16" t="s">
        <v>814</v>
      </c>
      <c r="G28" s="16">
        <v>0.094</v>
      </c>
      <c r="H28" s="146">
        <v>25</v>
      </c>
      <c r="I28" s="16" t="s">
        <v>816</v>
      </c>
      <c r="J28" s="16" t="s">
        <v>815</v>
      </c>
    </row>
    <row r="29" s="135" customFormat="1" ht="12" spans="1:10">
      <c r="A29" s="16">
        <v>21</v>
      </c>
      <c r="B29" s="16"/>
      <c r="C29" s="16" t="s">
        <v>63</v>
      </c>
      <c r="D29" s="16" t="s">
        <v>979</v>
      </c>
      <c r="E29" s="16" t="s">
        <v>980</v>
      </c>
      <c r="F29" s="16" t="s">
        <v>981</v>
      </c>
      <c r="G29" s="16">
        <v>0.12</v>
      </c>
      <c r="H29" s="146">
        <f>1000*120/10000</f>
        <v>12</v>
      </c>
      <c r="I29" s="16" t="s">
        <v>821</v>
      </c>
      <c r="J29" s="16" t="s">
        <v>820</v>
      </c>
    </row>
    <row r="30" s="135" customFormat="1" ht="12" spans="1:10">
      <c r="A30" s="16">
        <v>11</v>
      </c>
      <c r="B30" s="16" t="s">
        <v>70</v>
      </c>
      <c r="C30" s="16" t="s">
        <v>822</v>
      </c>
      <c r="D30" s="16" t="s">
        <v>982</v>
      </c>
      <c r="E30" s="16" t="s">
        <v>983</v>
      </c>
      <c r="F30" s="16" t="s">
        <v>825</v>
      </c>
      <c r="G30" s="16">
        <v>0.02</v>
      </c>
      <c r="H30" s="146">
        <v>4</v>
      </c>
      <c r="I30" s="16" t="s">
        <v>984</v>
      </c>
      <c r="J30" s="16" t="s">
        <v>815</v>
      </c>
    </row>
    <row r="31" s="135" customFormat="1" ht="12" spans="1:10">
      <c r="A31" s="16">
        <v>23</v>
      </c>
      <c r="B31" s="16"/>
      <c r="C31" s="16" t="s">
        <v>822</v>
      </c>
      <c r="D31" s="16" t="s">
        <v>985</v>
      </c>
      <c r="E31" s="16" t="s">
        <v>986</v>
      </c>
      <c r="F31" s="16" t="s">
        <v>825</v>
      </c>
      <c r="G31" s="16">
        <v>0.012</v>
      </c>
      <c r="H31" s="146">
        <v>2</v>
      </c>
      <c r="I31" s="16" t="s">
        <v>984</v>
      </c>
      <c r="J31" s="16" t="s">
        <v>815</v>
      </c>
    </row>
    <row r="32" s="135" customFormat="1" ht="12" spans="1:10">
      <c r="A32" s="16">
        <v>24</v>
      </c>
      <c r="B32" s="16"/>
      <c r="C32" s="16" t="s">
        <v>822</v>
      </c>
      <c r="D32" s="16" t="s">
        <v>987</v>
      </c>
      <c r="E32" s="16" t="s">
        <v>988</v>
      </c>
      <c r="F32" s="16" t="s">
        <v>825</v>
      </c>
      <c r="G32" s="16">
        <v>0.03</v>
      </c>
      <c r="H32" s="146">
        <v>5</v>
      </c>
      <c r="I32" s="16" t="s">
        <v>984</v>
      </c>
      <c r="J32" s="16" t="s">
        <v>815</v>
      </c>
    </row>
    <row r="33" s="135" customFormat="1" ht="12" spans="1:10">
      <c r="A33" s="69" t="s">
        <v>75</v>
      </c>
      <c r="B33" s="69"/>
      <c r="C33" s="69"/>
      <c r="D33" s="147"/>
      <c r="E33" s="147"/>
      <c r="F33" s="147"/>
      <c r="G33" s="147"/>
      <c r="H33" s="148">
        <f>H34</f>
        <v>153</v>
      </c>
      <c r="I33" s="147"/>
      <c r="J33" s="147"/>
    </row>
    <row r="34" s="135" customFormat="1" ht="48" spans="1:10">
      <c r="A34" s="16">
        <v>12</v>
      </c>
      <c r="B34" s="16" t="s">
        <v>80</v>
      </c>
      <c r="C34" s="16" t="s">
        <v>63</v>
      </c>
      <c r="D34" s="16" t="s">
        <v>989</v>
      </c>
      <c r="E34" s="16" t="s">
        <v>990</v>
      </c>
      <c r="F34" s="16" t="s">
        <v>832</v>
      </c>
      <c r="G34" s="16">
        <v>0.08</v>
      </c>
      <c r="H34" s="146">
        <v>153</v>
      </c>
      <c r="I34" s="16" t="s">
        <v>843</v>
      </c>
      <c r="J34" s="16" t="s">
        <v>842</v>
      </c>
    </row>
    <row r="35" s="135" customFormat="1" ht="12" spans="1:10">
      <c r="A35" s="69" t="s">
        <v>423</v>
      </c>
      <c r="B35" s="69"/>
      <c r="C35" s="69"/>
      <c r="D35" s="147"/>
      <c r="E35" s="147"/>
      <c r="F35" s="147"/>
      <c r="G35" s="147"/>
      <c r="H35" s="148">
        <f>H36+H37+H38</f>
        <v>612</v>
      </c>
      <c r="I35" s="147"/>
      <c r="J35" s="147"/>
    </row>
    <row r="36" s="135" customFormat="1" ht="12" spans="1:10">
      <c r="A36" s="16">
        <v>13</v>
      </c>
      <c r="B36" s="16" t="s">
        <v>428</v>
      </c>
      <c r="C36" s="16" t="s">
        <v>163</v>
      </c>
      <c r="D36" s="16" t="s">
        <v>991</v>
      </c>
      <c r="E36" s="16" t="s">
        <v>992</v>
      </c>
      <c r="F36" s="16" t="s">
        <v>993</v>
      </c>
      <c r="G36" s="16">
        <v>0.217</v>
      </c>
      <c r="H36" s="146">
        <v>353</v>
      </c>
      <c r="I36" s="16" t="s">
        <v>854</v>
      </c>
      <c r="J36" s="16" t="s">
        <v>994</v>
      </c>
    </row>
    <row r="37" s="135" customFormat="1" ht="12" spans="1:10">
      <c r="A37" s="16">
        <v>14</v>
      </c>
      <c r="B37" s="16" t="s">
        <v>428</v>
      </c>
      <c r="C37" s="16" t="s">
        <v>281</v>
      </c>
      <c r="D37" s="16" t="s">
        <v>995</v>
      </c>
      <c r="E37" s="16" t="s">
        <v>996</v>
      </c>
      <c r="F37" s="16" t="s">
        <v>993</v>
      </c>
      <c r="G37" s="16">
        <v>0.1</v>
      </c>
      <c r="H37" s="146">
        <v>131</v>
      </c>
      <c r="I37" s="16" t="s">
        <v>854</v>
      </c>
      <c r="J37" s="16" t="s">
        <v>997</v>
      </c>
    </row>
    <row r="38" s="135" customFormat="1" ht="12" spans="1:10">
      <c r="A38" s="16">
        <v>15</v>
      </c>
      <c r="B38" s="16" t="s">
        <v>428</v>
      </c>
      <c r="C38" s="16" t="s">
        <v>857</v>
      </c>
      <c r="D38" s="16" t="s">
        <v>998</v>
      </c>
      <c r="E38" s="16" t="s">
        <v>999</v>
      </c>
      <c r="F38" s="16" t="s">
        <v>993</v>
      </c>
      <c r="G38" s="16">
        <v>0.23</v>
      </c>
      <c r="H38" s="146">
        <v>128</v>
      </c>
      <c r="I38" s="16" t="s">
        <v>861</v>
      </c>
      <c r="J38" s="16" t="s">
        <v>1000</v>
      </c>
    </row>
    <row r="39" s="117" customFormat="1" ht="12" spans="1:10">
      <c r="A39" s="69" t="s">
        <v>97</v>
      </c>
      <c r="B39" s="69"/>
      <c r="C39" s="69"/>
      <c r="D39" s="16"/>
      <c r="E39" s="16"/>
      <c r="F39" s="16"/>
      <c r="G39" s="16"/>
      <c r="H39" s="145">
        <f>H40</f>
        <v>57</v>
      </c>
      <c r="I39" s="16"/>
      <c r="J39" s="16"/>
    </row>
    <row r="40" s="135" customFormat="1" ht="12" spans="1:10">
      <c r="A40" s="16">
        <v>16</v>
      </c>
      <c r="B40" s="16" t="s">
        <v>103</v>
      </c>
      <c r="C40" s="16" t="s">
        <v>63</v>
      </c>
      <c r="D40" s="16" t="s">
        <v>1001</v>
      </c>
      <c r="E40" s="16" t="s">
        <v>1002</v>
      </c>
      <c r="F40" s="16" t="s">
        <v>852</v>
      </c>
      <c r="G40" s="16">
        <v>0.021</v>
      </c>
      <c r="H40" s="146">
        <v>57</v>
      </c>
      <c r="I40" s="16" t="s">
        <v>1003</v>
      </c>
      <c r="J40" s="16" t="s">
        <v>864</v>
      </c>
    </row>
    <row r="41" s="135" customFormat="1" ht="12" spans="1:10">
      <c r="A41" s="15" t="s">
        <v>338</v>
      </c>
      <c r="B41" s="15"/>
      <c r="C41" s="15"/>
      <c r="D41" s="16"/>
      <c r="E41" s="16"/>
      <c r="F41" s="16"/>
      <c r="G41" s="16"/>
      <c r="H41" s="145">
        <v>85</v>
      </c>
      <c r="I41" s="16"/>
      <c r="J41" s="16"/>
    </row>
    <row r="42" s="135" customFormat="1" ht="12" spans="1:10">
      <c r="A42" s="16">
        <v>17</v>
      </c>
      <c r="B42" s="16" t="s">
        <v>343</v>
      </c>
      <c r="C42" s="16" t="s">
        <v>866</v>
      </c>
      <c r="D42" s="16" t="s">
        <v>1004</v>
      </c>
      <c r="E42" s="16" t="s">
        <v>1005</v>
      </c>
      <c r="F42" s="16" t="s">
        <v>852</v>
      </c>
      <c r="G42" s="16">
        <v>0.12</v>
      </c>
      <c r="H42" s="146">
        <v>85</v>
      </c>
      <c r="I42" s="16" t="s">
        <v>1003</v>
      </c>
      <c r="J42" s="16" t="s">
        <v>869</v>
      </c>
    </row>
  </sheetData>
  <mergeCells count="27">
    <mergeCell ref="A1:J1"/>
    <mergeCell ref="A3:C3"/>
    <mergeCell ref="A4:C4"/>
    <mergeCell ref="A17:C17"/>
    <mergeCell ref="A19:C19"/>
    <mergeCell ref="A25:C25"/>
    <mergeCell ref="A27:C27"/>
    <mergeCell ref="A33:C33"/>
    <mergeCell ref="A35:C35"/>
    <mergeCell ref="A39:C39"/>
    <mergeCell ref="A41:C41"/>
    <mergeCell ref="A5:A8"/>
    <mergeCell ref="A9:A11"/>
    <mergeCell ref="A12:A15"/>
    <mergeCell ref="A21:A23"/>
    <mergeCell ref="A28:A29"/>
    <mergeCell ref="A30:A32"/>
    <mergeCell ref="B5:B8"/>
    <mergeCell ref="B9:B11"/>
    <mergeCell ref="B12:B15"/>
    <mergeCell ref="B21:B23"/>
    <mergeCell ref="B28:B29"/>
    <mergeCell ref="B30:B32"/>
    <mergeCell ref="C5:C8"/>
    <mergeCell ref="C9:C11"/>
    <mergeCell ref="C12:C15"/>
    <mergeCell ref="C21:C23"/>
  </mergeCells>
  <pageMargins left="0.751388888888889" right="0.751388888888889" top="1" bottom="1" header="0.5" footer="0.5"/>
  <pageSetup paperSize="9" scale="59" fitToHeight="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1"/>
  <sheetViews>
    <sheetView view="pageBreakPreview" zoomScaleNormal="100" workbookViewId="0">
      <selection activeCell="Y4" sqref="Y4:Y5"/>
    </sheetView>
  </sheetViews>
  <sheetFormatPr defaultColWidth="9" defaultRowHeight="13.5"/>
  <cols>
    <col min="1" max="1" width="3.88333333333333" style="116" customWidth="1"/>
    <col min="2" max="2" width="11.75" style="116" customWidth="1"/>
    <col min="3" max="3" width="6.38333333333333" style="116" customWidth="1"/>
    <col min="4" max="4" width="6.13333333333333" style="116" customWidth="1"/>
    <col min="5" max="5" width="10.8833333333333" style="116" customWidth="1"/>
    <col min="6" max="6" width="6.5" style="116" customWidth="1"/>
    <col min="7" max="7" width="11" style="116" customWidth="1"/>
    <col min="8" max="8" width="9.13333333333333" style="116" customWidth="1"/>
    <col min="9" max="9" width="8.63333333333333" style="116" customWidth="1"/>
    <col min="10" max="10" width="6.63333333333333" style="116" customWidth="1"/>
    <col min="11" max="11" width="8" style="116" customWidth="1"/>
    <col min="12" max="12" width="12" style="116" customWidth="1"/>
    <col min="13" max="13" width="11" style="116" customWidth="1"/>
    <col min="14" max="14" width="35.6333333333333" style="116" customWidth="1"/>
    <col min="15" max="15" width="11" style="116" customWidth="1"/>
    <col min="16" max="16" width="11.25" style="116" customWidth="1"/>
    <col min="17" max="17" width="8.63333333333333" style="116" customWidth="1"/>
    <col min="18" max="18" width="6.75" style="116" customWidth="1"/>
    <col min="19" max="19" width="7.38333333333333" style="116" customWidth="1"/>
    <col min="20" max="20" width="8.88333333333333" style="116" customWidth="1"/>
    <col min="21" max="22" width="8.63333333333333" style="116" customWidth="1"/>
    <col min="23" max="23" width="10.8833333333333" style="116" customWidth="1"/>
    <col min="24" max="24" width="17.8833333333333" style="116" customWidth="1"/>
    <col min="25" max="25" width="31.5" style="116" customWidth="1"/>
    <col min="26" max="16384" width="9" style="116"/>
  </cols>
  <sheetData>
    <row r="1" s="116" customFormat="1" ht="45" customHeight="1" spans="1:25">
      <c r="A1" s="118" t="s">
        <v>893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="116" customFormat="1" ht="69" customHeight="1" spans="1:25">
      <c r="A2" s="119" t="s">
        <v>1</v>
      </c>
      <c r="B2" s="119" t="s">
        <v>1006</v>
      </c>
      <c r="C2" s="119" t="s">
        <v>1007</v>
      </c>
      <c r="D2" s="119" t="s">
        <v>1008</v>
      </c>
      <c r="E2" s="119" t="s">
        <v>1009</v>
      </c>
      <c r="F2" s="119" t="s">
        <v>1010</v>
      </c>
      <c r="G2" s="119" t="s">
        <v>1011</v>
      </c>
      <c r="H2" s="119" t="s">
        <v>1012</v>
      </c>
      <c r="I2" s="119" t="s">
        <v>1013</v>
      </c>
      <c r="J2" s="119" t="s">
        <v>1014</v>
      </c>
      <c r="K2" s="119" t="s">
        <v>1015</v>
      </c>
      <c r="L2" s="119" t="s">
        <v>1016</v>
      </c>
      <c r="M2" s="119" t="s">
        <v>1017</v>
      </c>
      <c r="N2" s="119" t="s">
        <v>1018</v>
      </c>
      <c r="O2" s="119" t="s">
        <v>1019</v>
      </c>
      <c r="P2" s="119" t="s">
        <v>1020</v>
      </c>
      <c r="Q2" s="119" t="s">
        <v>1021</v>
      </c>
      <c r="R2" s="119" t="s">
        <v>1022</v>
      </c>
      <c r="S2" s="119" t="s">
        <v>1023</v>
      </c>
      <c r="T2" s="129" t="s">
        <v>5</v>
      </c>
      <c r="U2" s="129" t="s">
        <v>1024</v>
      </c>
      <c r="V2" s="119" t="s">
        <v>1025</v>
      </c>
      <c r="W2" s="119" t="s">
        <v>1026</v>
      </c>
      <c r="X2" s="119" t="s">
        <v>1027</v>
      </c>
      <c r="Y2" s="119" t="s">
        <v>48</v>
      </c>
    </row>
    <row r="3" s="117" customFormat="1" ht="44" customHeight="1" spans="1: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5"/>
      <c r="M3" s="120"/>
      <c r="N3" s="120"/>
      <c r="O3" s="120"/>
      <c r="P3" s="125"/>
      <c r="Q3" s="120"/>
      <c r="R3" s="120"/>
      <c r="S3" s="120"/>
      <c r="T3" s="120">
        <f>T4+T5</f>
        <v>768</v>
      </c>
      <c r="U3" s="130">
        <f>U4+U5</f>
        <v>660</v>
      </c>
      <c r="V3" s="120"/>
      <c r="W3" s="120"/>
      <c r="X3" s="125"/>
      <c r="Y3" s="120"/>
    </row>
    <row r="4" s="117" customFormat="1" ht="154" customHeight="1" spans="1:25">
      <c r="A4" s="121">
        <v>1</v>
      </c>
      <c r="B4" s="121" t="s">
        <v>80</v>
      </c>
      <c r="C4" s="121" t="s">
        <v>63</v>
      </c>
      <c r="D4" s="121" t="s">
        <v>1028</v>
      </c>
      <c r="E4" s="121" t="s">
        <v>1029</v>
      </c>
      <c r="F4" s="122" t="s">
        <v>66</v>
      </c>
      <c r="G4" s="122" t="s">
        <v>1030</v>
      </c>
      <c r="H4" s="121">
        <v>480.7</v>
      </c>
      <c r="I4" s="121">
        <v>559.227</v>
      </c>
      <c r="J4" s="122" t="s">
        <v>1031</v>
      </c>
      <c r="K4" s="122" t="s">
        <v>73</v>
      </c>
      <c r="L4" s="126" t="s">
        <v>1032</v>
      </c>
      <c r="M4" s="122" t="s">
        <v>1033</v>
      </c>
      <c r="N4" s="121" t="s">
        <v>1034</v>
      </c>
      <c r="O4" s="127">
        <f>4664.39/666.7</f>
        <v>7</v>
      </c>
      <c r="P4" s="126" t="s">
        <v>1035</v>
      </c>
      <c r="Q4" s="121">
        <v>9</v>
      </c>
      <c r="R4" s="121">
        <v>63</v>
      </c>
      <c r="S4" s="121">
        <v>6600</v>
      </c>
      <c r="T4" s="121">
        <v>500</v>
      </c>
      <c r="U4" s="121">
        <v>420</v>
      </c>
      <c r="V4" s="121">
        <v>10</v>
      </c>
      <c r="W4" s="121">
        <v>12</v>
      </c>
      <c r="X4" s="131" t="s">
        <v>1036</v>
      </c>
      <c r="Y4" s="121"/>
    </row>
    <row r="5" s="117" customFormat="1" ht="154" customHeight="1" spans="1:25">
      <c r="A5" s="122">
        <v>2</v>
      </c>
      <c r="B5" s="122" t="s">
        <v>355</v>
      </c>
      <c r="C5" s="122" t="s">
        <v>233</v>
      </c>
      <c r="D5" s="122" t="s">
        <v>1037</v>
      </c>
      <c r="E5" s="122" t="s">
        <v>1038</v>
      </c>
      <c r="F5" s="122" t="s">
        <v>66</v>
      </c>
      <c r="G5" s="122" t="s">
        <v>1030</v>
      </c>
      <c r="H5" s="122">
        <v>2043.424</v>
      </c>
      <c r="I5" s="122">
        <v>2043.424</v>
      </c>
      <c r="J5" s="122" t="s">
        <v>1031</v>
      </c>
      <c r="K5" s="122" t="s">
        <v>73</v>
      </c>
      <c r="L5" s="122" t="s">
        <v>1039</v>
      </c>
      <c r="M5" s="122" t="s">
        <v>1033</v>
      </c>
      <c r="N5" s="122" t="s">
        <v>1040</v>
      </c>
      <c r="O5" s="128">
        <f>3856.67/666.67</f>
        <v>5.8</v>
      </c>
      <c r="P5" s="122" t="s">
        <v>1041</v>
      </c>
      <c r="Q5" s="122">
        <v>5</v>
      </c>
      <c r="R5" s="122">
        <v>15</v>
      </c>
      <c r="S5" s="122">
        <v>4520</v>
      </c>
      <c r="T5" s="122">
        <v>268</v>
      </c>
      <c r="U5" s="122">
        <v>239.9</v>
      </c>
      <c r="V5" s="122">
        <v>10</v>
      </c>
      <c r="W5" s="122">
        <v>10</v>
      </c>
      <c r="X5" s="122" t="s">
        <v>1042</v>
      </c>
      <c r="Y5" s="122"/>
    </row>
    <row r="6" s="116" customFormat="1" ht="27" customHeight="1" spans="1: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32"/>
      <c r="W6" s="133"/>
      <c r="X6" s="132"/>
      <c r="Y6" s="132"/>
    </row>
    <row r="7" s="116" customFormat="1" spans="1:2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</row>
    <row r="8" s="116" customFormat="1" spans="1: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</row>
    <row r="9" s="116" customFormat="1" spans="1: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</row>
    <row r="10" s="116" customFormat="1" spans="1: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</row>
    <row r="11" s="116" customFormat="1" spans="1:2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</row>
    <row r="12" s="116" customFormat="1" spans="1: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</row>
    <row r="13" s="116" customFormat="1" spans="1: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</row>
    <row r="14" s="116" customFormat="1" spans="1: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</row>
    <row r="15" s="116" customFormat="1" spans="1: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</row>
    <row r="16" s="116" customFormat="1" spans="1: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</row>
    <row r="17" s="116" customFormat="1" spans="1: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</row>
    <row r="18" s="116" customFormat="1" spans="1: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</row>
    <row r="19" s="116" customFormat="1" spans="1: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</row>
    <row r="20" s="116" customFormat="1" spans="1: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</row>
    <row r="21" s="116" customFormat="1" spans="1: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</row>
    <row r="22" s="116" customFormat="1" spans="1: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</row>
    <row r="23" s="116" customFormat="1" spans="1: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</row>
    <row r="24" s="116" customFormat="1" spans="1: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</row>
    <row r="25" s="116" customFormat="1" spans="1: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</row>
    <row r="26" s="116" customFormat="1" spans="1: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</row>
    <row r="27" s="116" customFormat="1" spans="1: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</row>
    <row r="28" s="116" customFormat="1" spans="1: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</row>
    <row r="29" s="116" customFormat="1" spans="1: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30" s="116" customFormat="1" spans="1: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</row>
    <row r="31" s="116" customFormat="1" spans="1: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</row>
    <row r="32" s="116" customFormat="1" spans="1: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</row>
    <row r="33" s="116" customFormat="1" spans="1: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</row>
    <row r="34" s="116" customFormat="1" spans="1:2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</row>
    <row r="35" s="116" customFormat="1" spans="1:2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</row>
    <row r="36" s="116" customFormat="1" spans="1:25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</row>
    <row r="37" s="116" customFormat="1" spans="1:2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</row>
    <row r="38" s="116" customFormat="1" spans="1:25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</row>
    <row r="39" s="116" customFormat="1" spans="1:2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</row>
    <row r="40" s="116" customFormat="1" spans="1:2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</row>
    <row r="41" s="116" customFormat="1" spans="1:2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</row>
    <row r="42" s="116" customFormat="1" spans="1:25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</row>
    <row r="43" s="116" customFormat="1" spans="1:2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</row>
    <row r="44" s="116" customFormat="1" spans="1:2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</row>
    <row r="45" s="116" customFormat="1" spans="1:25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</row>
    <row r="46" s="116" customFormat="1" spans="1:25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</row>
    <row r="47" s="116" customFormat="1" spans="1:2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</row>
    <row r="48" s="116" customFormat="1" spans="1:2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</row>
    <row r="49" s="116" customFormat="1" spans="1:2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</row>
    <row r="50" s="116" customFormat="1" spans="1:25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</row>
    <row r="51" s="116" customFormat="1" spans="1:2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s="116" customFormat="1" spans="1:2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</row>
    <row r="53" s="116" customFormat="1" spans="1:25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</row>
    <row r="54" s="116" customFormat="1" spans="1:25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</row>
    <row r="55" s="116" customFormat="1" spans="1:25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</row>
    <row r="56" s="116" customFormat="1" spans="1:25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</row>
    <row r="57" s="116" customFormat="1" spans="1:25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</row>
    <row r="58" s="116" customFormat="1" spans="1:25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</row>
    <row r="59" s="116" customFormat="1" spans="1:25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</row>
    <row r="60" s="116" customFormat="1" spans="1:25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</row>
    <row r="61" s="116" customFormat="1" spans="1:25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</row>
    <row r="62" s="116" customFormat="1" spans="1:25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</row>
    <row r="63" s="116" customFormat="1" spans="1:25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</row>
    <row r="64" s="116" customFormat="1" spans="1:25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</row>
    <row r="65" s="116" customFormat="1" spans="1:2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</row>
    <row r="66" s="116" customFormat="1" spans="1:25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</row>
    <row r="67" s="116" customFormat="1" spans="1:25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</row>
    <row r="68" s="116" customFormat="1" spans="1:25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</row>
    <row r="69" s="116" customFormat="1" spans="1:25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</row>
    <row r="70" s="116" customFormat="1" spans="1:25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</row>
    <row r="71" s="116" customFormat="1" spans="1:25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</row>
    <row r="72" s="116" customFormat="1" spans="1:25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</row>
    <row r="73" s="116" customFormat="1" spans="1:25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</row>
    <row r="74" s="116" customFormat="1" spans="1:25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</row>
    <row r="75" s="116" customFormat="1" spans="1:25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</row>
    <row r="76" s="116" customFormat="1" spans="1:25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</row>
    <row r="77" s="116" customFormat="1" spans="1:25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</row>
    <row r="78" s="116" customFormat="1" spans="1:25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</row>
    <row r="79" s="116" customFormat="1" spans="1:25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</row>
    <row r="80" s="116" customFormat="1" spans="1:25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</row>
    <row r="81" s="116" customFormat="1" spans="1:25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</row>
    <row r="82" s="116" customFormat="1" spans="1:25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</row>
    <row r="83" s="116" customFormat="1" spans="1:25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</row>
    <row r="84" s="116" customFormat="1" spans="1:25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</row>
    <row r="85" s="116" customFormat="1" spans="1:25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</row>
    <row r="86" s="116" customFormat="1" spans="1:25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</row>
    <row r="87" s="116" customFormat="1" spans="1:25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</row>
    <row r="88" s="116" customFormat="1" spans="1:25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</row>
    <row r="89" s="116" customFormat="1" spans="1:25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</row>
    <row r="90" s="116" customFormat="1" spans="1:25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</row>
    <row r="91" s="116" customFormat="1" spans="1:25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="116" customFormat="1" spans="1:25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</row>
    <row r="93" s="116" customFormat="1" spans="1:25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</row>
    <row r="94" s="116" customFormat="1" spans="1:25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</row>
    <row r="95" s="116" customFormat="1" spans="1:25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</row>
    <row r="96" s="116" customFormat="1" spans="1:25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</row>
    <row r="97" s="116" customFormat="1" spans="1:25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</row>
    <row r="98" s="116" customFormat="1" spans="1:25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</row>
    <row r="99" s="116" customFormat="1" spans="1:25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</row>
    <row r="100" s="116" customFormat="1" spans="1:25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</row>
    <row r="101" s="116" customFormat="1" spans="1:25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</row>
    <row r="102" s="116" customFormat="1" spans="1:25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</row>
    <row r="103" s="116" customFormat="1" spans="1:25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</row>
    <row r="104" s="116" customFormat="1" spans="1:25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</row>
    <row r="105" s="116" customFormat="1" spans="1:25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</row>
    <row r="106" s="116" customFormat="1" spans="1:25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</row>
    <row r="107" s="116" customFormat="1" spans="1:25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</row>
    <row r="108" s="116" customFormat="1" spans="1:25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</row>
    <row r="109" s="116" customFormat="1" spans="1:25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</row>
    <row r="110" s="116" customFormat="1" spans="1:25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</row>
    <row r="111" s="116" customFormat="1" spans="1:25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</row>
    <row r="112" s="116" customFormat="1" spans="1:25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</row>
    <row r="113" s="116" customFormat="1" spans="1:25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</row>
    <row r="114" s="116" customFormat="1" spans="1:25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</row>
    <row r="115" s="116" customFormat="1" spans="1:25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</row>
    <row r="116" s="116" customFormat="1" spans="1:25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</row>
    <row r="117" s="116" customFormat="1" spans="1:25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</row>
    <row r="118" s="116" customFormat="1" spans="1:25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</row>
    <row r="119" s="116" customFormat="1" spans="1:25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</row>
    <row r="120" s="116" customFormat="1" spans="1:25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</row>
    <row r="121" s="116" customFormat="1" spans="1:25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</row>
    <row r="122" s="116" customFormat="1" spans="1:25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</row>
    <row r="123" s="116" customFormat="1" spans="1:25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</row>
    <row r="124" s="116" customFormat="1" spans="1:25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</row>
    <row r="125" s="116" customFormat="1" spans="1:25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</row>
    <row r="126" s="116" customFormat="1" spans="1:25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</row>
    <row r="127" s="116" customFormat="1" spans="1:25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</row>
    <row r="128" s="116" customFormat="1" spans="1:25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</row>
    <row r="129" s="116" customFormat="1" spans="1:25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</row>
    <row r="130" s="116" customFormat="1" spans="1:25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</row>
    <row r="131" s="116" customFormat="1" spans="1:25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</row>
    <row r="132" s="116" customFormat="1" spans="1:25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</row>
    <row r="133" s="116" customFormat="1" spans="1:25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</row>
    <row r="134" s="116" customFormat="1" spans="1:25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</row>
    <row r="135" s="116" customFormat="1" spans="1:25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</row>
    <row r="136" s="116" customFormat="1" spans="1:25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</row>
    <row r="137" s="116" customFormat="1" spans="1:25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</row>
    <row r="138" s="116" customFormat="1" spans="1:25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</row>
    <row r="139" s="116" customFormat="1" spans="1:25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</row>
    <row r="140" s="116" customFormat="1" spans="1:25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</row>
    <row r="141" s="116" customFormat="1" spans="1:25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</row>
    <row r="142" s="116" customFormat="1" spans="1:25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</row>
    <row r="143" s="116" customFormat="1" spans="1:25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</row>
    <row r="144" s="116" customFormat="1" spans="1:25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</row>
    <row r="145" s="116" customFormat="1" spans="1:25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</row>
    <row r="146" s="116" customFormat="1" spans="1:25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</row>
    <row r="147" s="116" customFormat="1" spans="1:25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</row>
    <row r="148" s="116" customFormat="1" spans="1:25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</row>
    <row r="149" s="116" customFormat="1" spans="1:25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</row>
    <row r="150" s="116" customFormat="1" spans="1:25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</row>
    <row r="151" s="116" customFormat="1" spans="1:25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</row>
    <row r="152" s="116" customFormat="1" spans="1:25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</row>
    <row r="153" s="116" customFormat="1" spans="1:25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</row>
    <row r="154" s="116" customFormat="1" spans="1:25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</row>
    <row r="155" s="116" customFormat="1" spans="1:25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</row>
    <row r="156" s="116" customFormat="1" spans="1:25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</row>
    <row r="157" s="116" customFormat="1" spans="1:25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</row>
    <row r="158" s="116" customFormat="1" spans="1:25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</row>
    <row r="159" s="116" customFormat="1" spans="1:25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</row>
    <row r="160" s="116" customFormat="1" spans="1:25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</row>
    <row r="161" s="116" customFormat="1" spans="1:25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</row>
    <row r="162" s="116" customFormat="1" spans="1:25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</row>
    <row r="163" s="116" customFormat="1" spans="1:25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</row>
    <row r="164" s="116" customFormat="1" spans="1:25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</row>
    <row r="165" s="116" customFormat="1" spans="1:25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</row>
    <row r="166" s="116" customFormat="1" spans="1:25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</row>
    <row r="167" s="116" customFormat="1" spans="1:25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</row>
    <row r="168" s="116" customFormat="1" spans="1:25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</row>
    <row r="169" s="116" customFormat="1" spans="1:25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</row>
    <row r="170" s="116" customFormat="1" spans="1:2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</row>
    <row r="171" s="116" customFormat="1" spans="1:2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</row>
    <row r="172" s="116" customFormat="1" spans="1:25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</row>
    <row r="173" s="116" customFormat="1" spans="1:25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</row>
    <row r="174" s="116" customFormat="1" spans="1:25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</row>
    <row r="175" s="116" customFormat="1" spans="1:25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</row>
    <row r="176" s="116" customFormat="1" spans="1:25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</row>
    <row r="177" s="116" customFormat="1" spans="1:25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</row>
    <row r="178" s="116" customFormat="1" spans="1:25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</row>
    <row r="179" s="116" customFormat="1" spans="1:25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</row>
    <row r="180" s="116" customFormat="1" spans="1:25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</row>
    <row r="181" s="116" customFormat="1" spans="1:25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</row>
    <row r="182" s="116" customFormat="1" spans="1:25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</row>
    <row r="183" s="116" customFormat="1" spans="1:25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</row>
    <row r="184" s="116" customFormat="1" spans="1:25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</row>
    <row r="185" s="116" customFormat="1" spans="1:25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</row>
    <row r="186" s="116" customFormat="1" spans="1:25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</row>
    <row r="187" s="116" customFormat="1" spans="1:25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</row>
    <row r="188" s="116" customFormat="1" spans="1:25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</row>
    <row r="189" s="116" customFormat="1" spans="1:25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</row>
    <row r="190" s="116" customFormat="1" spans="1:25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</row>
    <row r="191" s="116" customFormat="1" spans="1:25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</row>
  </sheetData>
  <mergeCells count="2">
    <mergeCell ref="A1:Y1"/>
    <mergeCell ref="A6:T6"/>
  </mergeCells>
  <pageMargins left="0.751388888888889" right="0.751388888888889" top="1" bottom="1" header="0.5" footer="0.5"/>
  <pageSetup paperSize="9" scale="47" fitToHeight="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78"/>
  <sheetViews>
    <sheetView zoomScale="90" zoomScaleNormal="90" workbookViewId="0">
      <pane ySplit="4" topLeftCell="A5" activePane="bottomLeft" state="frozen"/>
      <selection/>
      <selection pane="bottomLeft" activeCell="M5" sqref="M5"/>
    </sheetView>
  </sheetViews>
  <sheetFormatPr defaultColWidth="9" defaultRowHeight="12"/>
  <cols>
    <col min="1" max="1" width="4.26666666666667" style="7" customWidth="1"/>
    <col min="2" max="2" width="12.4166666666667" style="7" customWidth="1"/>
    <col min="3" max="3" width="8.44166666666667" style="7" customWidth="1"/>
    <col min="4" max="4" width="8.33333333333333" style="7" customWidth="1"/>
    <col min="5" max="5" width="12.0833333333333" style="7" customWidth="1"/>
    <col min="6" max="6" width="8.55" style="7" customWidth="1"/>
    <col min="7" max="7" width="12.3583333333333" style="7" customWidth="1"/>
    <col min="8" max="8" width="16.1" style="7" customWidth="1"/>
    <col min="9" max="9" width="11.9416666666667" style="7" customWidth="1"/>
    <col min="10" max="10" width="14.8583333333333" style="7" customWidth="1"/>
    <col min="11" max="11" width="15.4166666666667" style="7" customWidth="1"/>
    <col min="12" max="12" width="9.8" style="7" customWidth="1"/>
    <col min="13" max="13" width="19.3" style="7" customWidth="1"/>
    <col min="14" max="14" width="26.25" style="7" customWidth="1"/>
    <col min="15" max="15" width="14.7666666666667" style="7" customWidth="1"/>
    <col min="16" max="16384" width="9" style="7"/>
  </cols>
  <sheetData>
    <row r="1" s="1" customFormat="1" ht="47" customHeight="1" spans="1:15">
      <c r="A1" s="8" t="s">
        <v>1043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21" customHeight="1" spans="1:15">
      <c r="A2" s="9" t="s">
        <v>1</v>
      </c>
      <c r="B2" s="10" t="s">
        <v>41</v>
      </c>
      <c r="C2" s="9" t="s">
        <v>29</v>
      </c>
      <c r="D2" s="9"/>
      <c r="E2" s="9"/>
      <c r="F2" s="9"/>
      <c r="G2" s="9"/>
      <c r="H2" s="9" t="s">
        <v>469</v>
      </c>
      <c r="I2" s="10" t="s">
        <v>646</v>
      </c>
      <c r="J2" s="10" t="s">
        <v>1044</v>
      </c>
      <c r="K2" s="10" t="s">
        <v>1045</v>
      </c>
      <c r="L2" s="10" t="s">
        <v>5</v>
      </c>
      <c r="M2" s="10" t="s">
        <v>647</v>
      </c>
      <c r="N2" s="9" t="s">
        <v>471</v>
      </c>
      <c r="O2" s="32" t="s">
        <v>48</v>
      </c>
    </row>
    <row r="3" s="3" customFormat="1" ht="26" customHeight="1" spans="1:15">
      <c r="A3" s="10"/>
      <c r="B3" s="11"/>
      <c r="C3" s="10" t="s">
        <v>649</v>
      </c>
      <c r="D3" s="10" t="s">
        <v>650</v>
      </c>
      <c r="E3" s="10" t="s">
        <v>49</v>
      </c>
      <c r="F3" s="10" t="s">
        <v>651</v>
      </c>
      <c r="G3" s="10" t="s">
        <v>652</v>
      </c>
      <c r="H3" s="9"/>
      <c r="I3" s="33"/>
      <c r="J3" s="33"/>
      <c r="K3" s="33"/>
      <c r="L3" s="33"/>
      <c r="M3" s="33"/>
      <c r="N3" s="9"/>
      <c r="O3" s="34"/>
    </row>
    <row r="4" s="4" customFormat="1" ht="26" customHeight="1" spans="1:15">
      <c r="A4" s="12" t="s">
        <v>55</v>
      </c>
      <c r="B4" s="13"/>
      <c r="C4" s="13"/>
      <c r="D4" s="13"/>
      <c r="E4" s="13"/>
      <c r="F4" s="13"/>
      <c r="G4" s="14"/>
      <c r="H4" s="15"/>
      <c r="I4" s="35">
        <f t="shared" ref="I4:M4" si="0">I5+I25+I44+I62+I81+I112+I181+I226+I283+I349+I406+I417+I434+I506+I523+I529</f>
        <v>117.182</v>
      </c>
      <c r="J4" s="35">
        <f t="shared" si="0"/>
        <v>33594</v>
      </c>
      <c r="K4" s="35">
        <f t="shared" si="0"/>
        <v>1911.65</v>
      </c>
      <c r="L4" s="36">
        <f t="shared" si="0"/>
        <v>192</v>
      </c>
      <c r="M4" s="36">
        <f t="shared" si="0"/>
        <v>160</v>
      </c>
      <c r="N4" s="15"/>
      <c r="O4" s="37"/>
    </row>
    <row r="5" s="5" customFormat="1" ht="35.1" customHeight="1" spans="1:15">
      <c r="A5" s="15" t="s">
        <v>1046</v>
      </c>
      <c r="B5" s="15"/>
      <c r="C5" s="15"/>
      <c r="D5" s="15"/>
      <c r="E5" s="15"/>
      <c r="F5" s="15"/>
      <c r="G5" s="15"/>
      <c r="H5" s="15"/>
      <c r="I5" s="38">
        <f t="shared" ref="I5:M5" si="1">SUM(I6:I24)</f>
        <v>4.65500000000003</v>
      </c>
      <c r="J5" s="38">
        <f t="shared" si="1"/>
        <v>2421</v>
      </c>
      <c r="K5" s="38">
        <f t="shared" si="1"/>
        <v>93.0000000000046</v>
      </c>
      <c r="L5" s="38">
        <f t="shared" si="1"/>
        <v>13.57</v>
      </c>
      <c r="M5" s="38">
        <f t="shared" si="1"/>
        <v>11.31</v>
      </c>
      <c r="N5" s="15"/>
      <c r="O5" s="15"/>
    </row>
    <row r="6" s="6" customFormat="1" ht="29" customHeight="1" spans="1:15">
      <c r="A6" s="16">
        <v>1</v>
      </c>
      <c r="B6" s="16" t="s">
        <v>1046</v>
      </c>
      <c r="C6" s="16" t="s">
        <v>281</v>
      </c>
      <c r="D6" s="16"/>
      <c r="E6" s="17">
        <v>181.65</v>
      </c>
      <c r="F6" s="16"/>
      <c r="G6" s="18">
        <v>181.765</v>
      </c>
      <c r="H6" s="16" t="s">
        <v>1047</v>
      </c>
      <c r="I6" s="39">
        <v>0.115</v>
      </c>
      <c r="J6" s="40">
        <f t="shared" ref="J6:J9" si="2">I6*1000/100*30*2</f>
        <v>69</v>
      </c>
      <c r="K6" s="39"/>
      <c r="L6" s="19">
        <f t="shared" ref="L6:L24" si="3">M6*1.2</f>
        <v>0.37</v>
      </c>
      <c r="M6" s="19">
        <f t="shared" ref="M6:M9" si="4">J6*45/10000</f>
        <v>0.31</v>
      </c>
      <c r="N6" s="16" t="s">
        <v>1048</v>
      </c>
      <c r="O6" s="16"/>
    </row>
    <row r="7" s="6" customFormat="1" ht="29" customHeight="1" spans="1:15">
      <c r="A7" s="16">
        <v>2</v>
      </c>
      <c r="B7" s="16" t="s">
        <v>1046</v>
      </c>
      <c r="C7" s="16" t="s">
        <v>281</v>
      </c>
      <c r="D7" s="16"/>
      <c r="E7" s="17">
        <v>182.88</v>
      </c>
      <c r="F7" s="16"/>
      <c r="G7" s="18">
        <v>183.13</v>
      </c>
      <c r="H7" s="16" t="s">
        <v>1047</v>
      </c>
      <c r="I7" s="39">
        <v>0.25</v>
      </c>
      <c r="J7" s="40">
        <f t="shared" si="2"/>
        <v>150</v>
      </c>
      <c r="K7" s="39"/>
      <c r="L7" s="19">
        <f t="shared" si="3"/>
        <v>0.82</v>
      </c>
      <c r="M7" s="19">
        <f t="shared" si="4"/>
        <v>0.68</v>
      </c>
      <c r="N7" s="16" t="s">
        <v>1048</v>
      </c>
      <c r="O7" s="16"/>
    </row>
    <row r="8" s="6" customFormat="1" ht="29" customHeight="1" spans="1:15">
      <c r="A8" s="16">
        <v>3</v>
      </c>
      <c r="B8" s="16" t="s">
        <v>1046</v>
      </c>
      <c r="C8" s="16" t="s">
        <v>281</v>
      </c>
      <c r="D8" s="16"/>
      <c r="E8" s="17">
        <v>182.88</v>
      </c>
      <c r="F8" s="16"/>
      <c r="G8" s="18">
        <v>182.91</v>
      </c>
      <c r="H8" s="16" t="s">
        <v>1049</v>
      </c>
      <c r="I8" s="39">
        <v>0.0300000000000011</v>
      </c>
      <c r="J8" s="16"/>
      <c r="K8" s="40">
        <f t="shared" ref="K8:K12" si="5">I8*1000*0.15</f>
        <v>4.50000000000016</v>
      </c>
      <c r="L8" s="19">
        <f t="shared" si="3"/>
        <v>0.02</v>
      </c>
      <c r="M8" s="19">
        <f t="shared" ref="M8:M12" si="6">K8*45/10000</f>
        <v>0.02</v>
      </c>
      <c r="N8" s="16" t="s">
        <v>1048</v>
      </c>
      <c r="O8" s="16"/>
    </row>
    <row r="9" s="6" customFormat="1" ht="29" customHeight="1" spans="1:15">
      <c r="A9" s="16">
        <v>4</v>
      </c>
      <c r="B9" s="16" t="s">
        <v>1046</v>
      </c>
      <c r="C9" s="16" t="s">
        <v>281</v>
      </c>
      <c r="D9" s="16"/>
      <c r="E9" s="17">
        <v>183.975</v>
      </c>
      <c r="F9" s="16"/>
      <c r="G9" s="18">
        <v>184.235</v>
      </c>
      <c r="H9" s="16" t="s">
        <v>1047</v>
      </c>
      <c r="I9" s="39">
        <v>0.26</v>
      </c>
      <c r="J9" s="40">
        <f t="shared" si="2"/>
        <v>156</v>
      </c>
      <c r="K9" s="39"/>
      <c r="L9" s="19">
        <f t="shared" si="3"/>
        <v>0.84</v>
      </c>
      <c r="M9" s="19">
        <f t="shared" si="4"/>
        <v>0.7</v>
      </c>
      <c r="N9" s="16" t="s">
        <v>1048</v>
      </c>
      <c r="O9" s="16"/>
    </row>
    <row r="10" s="6" customFormat="1" ht="29" customHeight="1" spans="1:15">
      <c r="A10" s="16">
        <v>5</v>
      </c>
      <c r="B10" s="16" t="s">
        <v>1046</v>
      </c>
      <c r="C10" s="16" t="s">
        <v>281</v>
      </c>
      <c r="D10" s="16"/>
      <c r="E10" s="17">
        <v>183.975</v>
      </c>
      <c r="F10" s="16"/>
      <c r="G10" s="18">
        <v>184.005</v>
      </c>
      <c r="H10" s="16" t="s">
        <v>1049</v>
      </c>
      <c r="I10" s="39">
        <v>0.0300000000000011</v>
      </c>
      <c r="J10" s="16"/>
      <c r="K10" s="40">
        <f t="shared" si="5"/>
        <v>4.50000000000016</v>
      </c>
      <c r="L10" s="19">
        <f t="shared" si="3"/>
        <v>0.02</v>
      </c>
      <c r="M10" s="19">
        <f t="shared" si="6"/>
        <v>0.02</v>
      </c>
      <c r="N10" s="16" t="s">
        <v>1048</v>
      </c>
      <c r="O10" s="16"/>
    </row>
    <row r="11" s="6" customFormat="1" ht="29" customHeight="1" spans="1:15">
      <c r="A11" s="16">
        <v>6</v>
      </c>
      <c r="B11" s="16" t="s">
        <v>1046</v>
      </c>
      <c r="C11" s="16" t="s">
        <v>281</v>
      </c>
      <c r="D11" s="16"/>
      <c r="E11" s="17">
        <v>190.73</v>
      </c>
      <c r="F11" s="16"/>
      <c r="G11" s="18">
        <v>190.95</v>
      </c>
      <c r="H11" s="16" t="s">
        <v>1047</v>
      </c>
      <c r="I11" s="39">
        <v>0.12</v>
      </c>
      <c r="J11" s="40">
        <f t="shared" ref="J11:J15" si="7">I11*1000/100*30*2</f>
        <v>72</v>
      </c>
      <c r="K11" s="39"/>
      <c r="L11" s="19">
        <f t="shared" si="3"/>
        <v>0.38</v>
      </c>
      <c r="M11" s="19">
        <f t="shared" ref="M11:M15" si="8">J11*45/10000</f>
        <v>0.32</v>
      </c>
      <c r="N11" s="16" t="s">
        <v>1048</v>
      </c>
      <c r="O11" s="16"/>
    </row>
    <row r="12" s="6" customFormat="1" ht="29" customHeight="1" spans="1:15">
      <c r="A12" s="16">
        <v>7</v>
      </c>
      <c r="B12" s="16" t="s">
        <v>1046</v>
      </c>
      <c r="C12" s="16" t="s">
        <v>281</v>
      </c>
      <c r="D12" s="16"/>
      <c r="E12" s="17">
        <v>190.73</v>
      </c>
      <c r="F12" s="16"/>
      <c r="G12" s="18">
        <v>190.78</v>
      </c>
      <c r="H12" s="16" t="s">
        <v>1049</v>
      </c>
      <c r="I12" s="39">
        <v>0.0500000000000114</v>
      </c>
      <c r="J12" s="16"/>
      <c r="K12" s="40">
        <f t="shared" si="5"/>
        <v>7.50000000000171</v>
      </c>
      <c r="L12" s="19">
        <f t="shared" si="3"/>
        <v>0.04</v>
      </c>
      <c r="M12" s="19">
        <f t="shared" si="6"/>
        <v>0.03</v>
      </c>
      <c r="N12" s="16" t="s">
        <v>1048</v>
      </c>
      <c r="O12" s="16"/>
    </row>
    <row r="13" s="6" customFormat="1" ht="29" customHeight="1" spans="1:15">
      <c r="A13" s="16">
        <v>8</v>
      </c>
      <c r="B13" s="16" t="s">
        <v>1046</v>
      </c>
      <c r="C13" s="16" t="s">
        <v>281</v>
      </c>
      <c r="D13" s="16"/>
      <c r="E13" s="17">
        <v>192.1</v>
      </c>
      <c r="F13" s="16"/>
      <c r="G13" s="18">
        <v>192.53</v>
      </c>
      <c r="H13" s="16" t="s">
        <v>1047</v>
      </c>
      <c r="I13" s="39">
        <v>0.43</v>
      </c>
      <c r="J13" s="40">
        <f t="shared" si="7"/>
        <v>258</v>
      </c>
      <c r="K13" s="39"/>
      <c r="L13" s="19">
        <f t="shared" si="3"/>
        <v>1.39</v>
      </c>
      <c r="M13" s="19">
        <f t="shared" si="8"/>
        <v>1.16</v>
      </c>
      <c r="N13" s="16" t="s">
        <v>1048</v>
      </c>
      <c r="O13" s="16"/>
    </row>
    <row r="14" s="6" customFormat="1" ht="29" customHeight="1" spans="1:15">
      <c r="A14" s="16">
        <v>9</v>
      </c>
      <c r="B14" s="16" t="s">
        <v>1046</v>
      </c>
      <c r="C14" s="16" t="s">
        <v>281</v>
      </c>
      <c r="D14" s="16"/>
      <c r="E14" s="17">
        <v>192.05</v>
      </c>
      <c r="F14" s="16"/>
      <c r="G14" s="18">
        <v>192.08</v>
      </c>
      <c r="H14" s="16" t="s">
        <v>1049</v>
      </c>
      <c r="I14" s="39">
        <v>0.0300000000000011</v>
      </c>
      <c r="J14" s="16"/>
      <c r="K14" s="40">
        <f t="shared" ref="K14:K19" si="9">I14*1000*0.15</f>
        <v>4.50000000000016</v>
      </c>
      <c r="L14" s="19">
        <f t="shared" si="3"/>
        <v>0.02</v>
      </c>
      <c r="M14" s="19">
        <f t="shared" ref="M14:M19" si="10">K14*45/10000</f>
        <v>0.02</v>
      </c>
      <c r="N14" s="16" t="s">
        <v>1048</v>
      </c>
      <c r="O14" s="16"/>
    </row>
    <row r="15" s="6" customFormat="1" ht="29" customHeight="1" spans="1:15">
      <c r="A15" s="16">
        <v>10</v>
      </c>
      <c r="B15" s="16" t="s">
        <v>1046</v>
      </c>
      <c r="C15" s="16" t="s">
        <v>281</v>
      </c>
      <c r="D15" s="16"/>
      <c r="E15" s="17">
        <v>196.31</v>
      </c>
      <c r="F15" s="16"/>
      <c r="G15" s="18">
        <v>196.88</v>
      </c>
      <c r="H15" s="16" t="s">
        <v>1047</v>
      </c>
      <c r="I15" s="39">
        <v>0.57</v>
      </c>
      <c r="J15" s="40">
        <f t="shared" si="7"/>
        <v>342</v>
      </c>
      <c r="K15" s="39"/>
      <c r="L15" s="19">
        <f t="shared" si="3"/>
        <v>1.85</v>
      </c>
      <c r="M15" s="19">
        <f t="shared" si="8"/>
        <v>1.54</v>
      </c>
      <c r="N15" s="16" t="s">
        <v>1048</v>
      </c>
      <c r="O15" s="16"/>
    </row>
    <row r="16" s="6" customFormat="1" ht="29" customHeight="1" spans="1:15">
      <c r="A16" s="16">
        <v>11</v>
      </c>
      <c r="B16" s="16" t="s">
        <v>1046</v>
      </c>
      <c r="C16" s="16" t="s">
        <v>281</v>
      </c>
      <c r="D16" s="16"/>
      <c r="E16" s="17">
        <v>196.28</v>
      </c>
      <c r="F16" s="16"/>
      <c r="G16" s="18">
        <v>196.31</v>
      </c>
      <c r="H16" s="16" t="s">
        <v>1049</v>
      </c>
      <c r="I16" s="39">
        <v>0.06</v>
      </c>
      <c r="J16" s="16"/>
      <c r="K16" s="40">
        <f t="shared" si="9"/>
        <v>9</v>
      </c>
      <c r="L16" s="19">
        <f t="shared" si="3"/>
        <v>0.05</v>
      </c>
      <c r="M16" s="19">
        <f t="shared" si="10"/>
        <v>0.04</v>
      </c>
      <c r="N16" s="16" t="s">
        <v>1048</v>
      </c>
      <c r="O16" s="16"/>
    </row>
    <row r="17" s="6" customFormat="1" ht="29" customHeight="1" spans="1:15">
      <c r="A17" s="16">
        <v>12</v>
      </c>
      <c r="B17" s="16" t="s">
        <v>1046</v>
      </c>
      <c r="C17" s="16" t="s">
        <v>281</v>
      </c>
      <c r="D17" s="16"/>
      <c r="E17" s="17">
        <v>197.1</v>
      </c>
      <c r="F17" s="16"/>
      <c r="G17" s="18">
        <v>197.5</v>
      </c>
      <c r="H17" s="16" t="s">
        <v>1047</v>
      </c>
      <c r="I17" s="39">
        <v>0.4</v>
      </c>
      <c r="J17" s="40">
        <f t="shared" ref="J17:J20" si="11">I17*1000/100*30*2</f>
        <v>240</v>
      </c>
      <c r="K17" s="39"/>
      <c r="L17" s="19">
        <f t="shared" si="3"/>
        <v>1.3</v>
      </c>
      <c r="M17" s="19">
        <f t="shared" ref="M17:M20" si="12">J17*45/10000</f>
        <v>1.08</v>
      </c>
      <c r="N17" s="16" t="s">
        <v>1048</v>
      </c>
      <c r="O17" s="16"/>
    </row>
    <row r="18" s="6" customFormat="1" ht="29" customHeight="1" spans="1:15">
      <c r="A18" s="16">
        <v>13</v>
      </c>
      <c r="B18" s="16" t="s">
        <v>1046</v>
      </c>
      <c r="C18" s="16" t="s">
        <v>281</v>
      </c>
      <c r="D18" s="16"/>
      <c r="E18" s="17">
        <v>199.67</v>
      </c>
      <c r="F18" s="16"/>
      <c r="G18" s="18">
        <v>199.99</v>
      </c>
      <c r="H18" s="16" t="s">
        <v>1047</v>
      </c>
      <c r="I18" s="39">
        <v>0.32</v>
      </c>
      <c r="J18" s="40">
        <f t="shared" si="11"/>
        <v>192</v>
      </c>
      <c r="K18" s="39"/>
      <c r="L18" s="19">
        <f t="shared" si="3"/>
        <v>1.03</v>
      </c>
      <c r="M18" s="19">
        <f t="shared" si="12"/>
        <v>0.86</v>
      </c>
      <c r="N18" s="16" t="s">
        <v>1048</v>
      </c>
      <c r="O18" s="16"/>
    </row>
    <row r="19" s="6" customFormat="1" ht="29" customHeight="1" spans="1:15">
      <c r="A19" s="16">
        <v>14</v>
      </c>
      <c r="B19" s="16" t="s">
        <v>1046</v>
      </c>
      <c r="C19" s="16" t="s">
        <v>281</v>
      </c>
      <c r="D19" s="16"/>
      <c r="E19" s="17">
        <v>199.67</v>
      </c>
      <c r="F19" s="16"/>
      <c r="G19" s="18">
        <v>199.79</v>
      </c>
      <c r="H19" s="16" t="s">
        <v>1049</v>
      </c>
      <c r="I19" s="39">
        <v>0.120000000000005</v>
      </c>
      <c r="J19" s="16"/>
      <c r="K19" s="40">
        <f t="shared" si="9"/>
        <v>18.0000000000008</v>
      </c>
      <c r="L19" s="19">
        <f t="shared" si="3"/>
        <v>0.1</v>
      </c>
      <c r="M19" s="19">
        <f t="shared" si="10"/>
        <v>0.08</v>
      </c>
      <c r="N19" s="16" t="s">
        <v>1048</v>
      </c>
      <c r="O19" s="16"/>
    </row>
    <row r="20" s="6" customFormat="1" ht="29" customHeight="1" spans="1:15">
      <c r="A20" s="16">
        <v>15</v>
      </c>
      <c r="B20" s="16" t="s">
        <v>1046</v>
      </c>
      <c r="C20" s="16" t="s">
        <v>281</v>
      </c>
      <c r="D20" s="16"/>
      <c r="E20" s="17">
        <v>204.88</v>
      </c>
      <c r="F20" s="16"/>
      <c r="G20" s="18">
        <v>205.18</v>
      </c>
      <c r="H20" s="16" t="s">
        <v>1047</v>
      </c>
      <c r="I20" s="39">
        <v>0.3</v>
      </c>
      <c r="J20" s="40">
        <f t="shared" si="11"/>
        <v>180</v>
      </c>
      <c r="K20" s="39"/>
      <c r="L20" s="19">
        <f t="shared" si="3"/>
        <v>0.97</v>
      </c>
      <c r="M20" s="19">
        <f t="shared" si="12"/>
        <v>0.81</v>
      </c>
      <c r="N20" s="16" t="s">
        <v>1048</v>
      </c>
      <c r="O20" s="16"/>
    </row>
    <row r="21" s="6" customFormat="1" ht="29" customHeight="1" spans="1:15">
      <c r="A21" s="16">
        <v>16</v>
      </c>
      <c r="B21" s="16" t="s">
        <v>1046</v>
      </c>
      <c r="C21" s="16" t="s">
        <v>281</v>
      </c>
      <c r="D21" s="16"/>
      <c r="E21" s="17">
        <v>204.88</v>
      </c>
      <c r="F21" s="16"/>
      <c r="G21" s="18">
        <v>205.18</v>
      </c>
      <c r="H21" s="16" t="s">
        <v>1049</v>
      </c>
      <c r="I21" s="39">
        <v>0.300000000000011</v>
      </c>
      <c r="J21" s="16"/>
      <c r="K21" s="40">
        <f>I21*1000*0.15</f>
        <v>45.0000000000016</v>
      </c>
      <c r="L21" s="19">
        <f t="shared" si="3"/>
        <v>0.24</v>
      </c>
      <c r="M21" s="19">
        <f>K21*45/10000</f>
        <v>0.2</v>
      </c>
      <c r="N21" s="16" t="s">
        <v>1048</v>
      </c>
      <c r="O21" s="16"/>
    </row>
    <row r="22" s="6" customFormat="1" ht="29" customHeight="1" spans="1:15">
      <c r="A22" s="16">
        <v>17</v>
      </c>
      <c r="B22" s="16" t="s">
        <v>1046</v>
      </c>
      <c r="C22" s="16" t="s">
        <v>233</v>
      </c>
      <c r="D22" s="16"/>
      <c r="E22" s="19">
        <v>2154.35</v>
      </c>
      <c r="F22" s="16"/>
      <c r="G22" s="19">
        <v>2154.43</v>
      </c>
      <c r="H22" s="16" t="s">
        <v>1047</v>
      </c>
      <c r="I22" s="16">
        <v>0.08</v>
      </c>
      <c r="J22" s="40">
        <f t="shared" ref="J22:J24" si="13">I22*1000/100*30*2</f>
        <v>48</v>
      </c>
      <c r="K22" s="39"/>
      <c r="L22" s="19">
        <f t="shared" si="3"/>
        <v>0.26</v>
      </c>
      <c r="M22" s="19">
        <f t="shared" ref="M22:M24" si="14">J22*45/10000</f>
        <v>0.22</v>
      </c>
      <c r="N22" s="16" t="s">
        <v>1048</v>
      </c>
      <c r="O22" s="16"/>
    </row>
    <row r="23" s="6" customFormat="1" ht="29" customHeight="1" spans="1:15">
      <c r="A23" s="16">
        <v>18</v>
      </c>
      <c r="B23" s="16" t="s">
        <v>1046</v>
      </c>
      <c r="C23" s="16" t="s">
        <v>233</v>
      </c>
      <c r="D23" s="16"/>
      <c r="E23" s="19">
        <v>2155.34</v>
      </c>
      <c r="F23" s="16"/>
      <c r="G23" s="19">
        <v>2156.02</v>
      </c>
      <c r="H23" s="16" t="s">
        <v>1047</v>
      </c>
      <c r="I23" s="16">
        <v>0.68</v>
      </c>
      <c r="J23" s="40">
        <f t="shared" si="13"/>
        <v>408</v>
      </c>
      <c r="K23" s="39"/>
      <c r="L23" s="19">
        <f t="shared" si="3"/>
        <v>2.21</v>
      </c>
      <c r="M23" s="19">
        <f t="shared" si="14"/>
        <v>1.84</v>
      </c>
      <c r="N23" s="16" t="s">
        <v>1048</v>
      </c>
      <c r="O23" s="16"/>
    </row>
    <row r="24" s="6" customFormat="1" ht="29" customHeight="1" spans="1:15">
      <c r="A24" s="20">
        <v>19</v>
      </c>
      <c r="B24" s="20" t="s">
        <v>1046</v>
      </c>
      <c r="C24" s="20" t="s">
        <v>233</v>
      </c>
      <c r="D24" s="20"/>
      <c r="E24" s="21">
        <v>2156.25</v>
      </c>
      <c r="F24" s="20"/>
      <c r="G24" s="21">
        <v>2156.76</v>
      </c>
      <c r="H24" s="16" t="s">
        <v>1047</v>
      </c>
      <c r="I24" s="16">
        <v>0.51</v>
      </c>
      <c r="J24" s="40">
        <f t="shared" si="13"/>
        <v>306</v>
      </c>
      <c r="K24" s="39"/>
      <c r="L24" s="19">
        <f t="shared" si="3"/>
        <v>1.66</v>
      </c>
      <c r="M24" s="19">
        <f t="shared" si="14"/>
        <v>1.38</v>
      </c>
      <c r="N24" s="16" t="s">
        <v>1048</v>
      </c>
      <c r="O24" s="16"/>
    </row>
    <row r="25" s="5" customFormat="1" ht="29" customHeight="1" spans="1:15">
      <c r="A25" s="15" t="s">
        <v>70</v>
      </c>
      <c r="B25" s="15"/>
      <c r="C25" s="15"/>
      <c r="D25" s="15"/>
      <c r="E25" s="15"/>
      <c r="F25" s="15"/>
      <c r="G25" s="15"/>
      <c r="H25" s="15"/>
      <c r="I25" s="35">
        <f t="shared" ref="I25:M25" si="15">SUM(I26:I43)</f>
        <v>7.54699999999981</v>
      </c>
      <c r="J25" s="35">
        <f t="shared" si="15"/>
        <v>1278</v>
      </c>
      <c r="K25" s="35">
        <f t="shared" si="15"/>
        <v>564.749999999999</v>
      </c>
      <c r="L25" s="35">
        <f t="shared" si="15"/>
        <v>9.94970999999999</v>
      </c>
      <c r="M25" s="35">
        <f t="shared" si="15"/>
        <v>8.291425</v>
      </c>
      <c r="N25" s="15"/>
      <c r="O25" s="15"/>
    </row>
    <row r="26" s="6" customFormat="1" ht="30" customHeight="1" spans="1:15">
      <c r="A26" s="22">
        <v>1</v>
      </c>
      <c r="B26" s="22" t="s">
        <v>70</v>
      </c>
      <c r="C26" s="16" t="s">
        <v>63</v>
      </c>
      <c r="D26" s="22" t="s">
        <v>1050</v>
      </c>
      <c r="E26" s="22">
        <v>566.3</v>
      </c>
      <c r="F26" s="22" t="s">
        <v>1051</v>
      </c>
      <c r="G26" s="22">
        <v>566.5</v>
      </c>
      <c r="H26" s="16" t="s">
        <v>1047</v>
      </c>
      <c r="I26" s="41">
        <v>0.2</v>
      </c>
      <c r="J26" s="22">
        <v>60</v>
      </c>
      <c r="K26" s="22"/>
      <c r="L26" s="22">
        <f t="shared" ref="L26:L43" si="16">M26*1.2</f>
        <v>0.324</v>
      </c>
      <c r="M26" s="19">
        <f t="shared" ref="M26:M36" si="17">J26*45/10000</f>
        <v>0.27</v>
      </c>
      <c r="N26" s="16" t="s">
        <v>1052</v>
      </c>
      <c r="O26" s="42"/>
    </row>
    <row r="27" s="6" customFormat="1" ht="30" customHeight="1" spans="1:15">
      <c r="A27" s="22">
        <v>2</v>
      </c>
      <c r="B27" s="22" t="s">
        <v>70</v>
      </c>
      <c r="C27" s="16" t="s">
        <v>63</v>
      </c>
      <c r="D27" s="22" t="s">
        <v>1053</v>
      </c>
      <c r="E27" s="22">
        <v>568.1</v>
      </c>
      <c r="F27" s="22" t="s">
        <v>1054</v>
      </c>
      <c r="G27" s="22">
        <v>568.9</v>
      </c>
      <c r="H27" s="16" t="s">
        <v>1047</v>
      </c>
      <c r="I27" s="41">
        <v>0.4</v>
      </c>
      <c r="J27" s="22">
        <v>120</v>
      </c>
      <c r="K27" s="22"/>
      <c r="L27" s="22">
        <f t="shared" si="16"/>
        <v>0.648</v>
      </c>
      <c r="M27" s="19">
        <f t="shared" si="17"/>
        <v>0.54</v>
      </c>
      <c r="N27" s="16" t="s">
        <v>1052</v>
      </c>
      <c r="O27" s="42"/>
    </row>
    <row r="28" s="6" customFormat="1" ht="30" customHeight="1" spans="1:15">
      <c r="A28" s="22">
        <v>3</v>
      </c>
      <c r="B28" s="22" t="s">
        <v>70</v>
      </c>
      <c r="C28" s="16" t="s">
        <v>63</v>
      </c>
      <c r="D28" s="22" t="s">
        <v>1053</v>
      </c>
      <c r="E28" s="22">
        <v>566.9</v>
      </c>
      <c r="F28" s="22" t="s">
        <v>1053</v>
      </c>
      <c r="G28" s="22">
        <v>567.75</v>
      </c>
      <c r="H28" s="16" t="s">
        <v>1047</v>
      </c>
      <c r="I28" s="41">
        <v>0.4</v>
      </c>
      <c r="J28" s="22">
        <v>120</v>
      </c>
      <c r="K28" s="22"/>
      <c r="L28" s="22">
        <f t="shared" si="16"/>
        <v>0.648</v>
      </c>
      <c r="M28" s="19">
        <f t="shared" si="17"/>
        <v>0.54</v>
      </c>
      <c r="N28" s="16" t="s">
        <v>1052</v>
      </c>
      <c r="O28" s="42"/>
    </row>
    <row r="29" s="6" customFormat="1" ht="30" customHeight="1" spans="1:15">
      <c r="A29" s="22">
        <v>4</v>
      </c>
      <c r="B29" s="22" t="s">
        <v>70</v>
      </c>
      <c r="C29" s="16" t="s">
        <v>63</v>
      </c>
      <c r="D29" s="22" t="s">
        <v>1054</v>
      </c>
      <c r="E29" s="22">
        <v>569.25</v>
      </c>
      <c r="F29" s="22" t="s">
        <v>1055</v>
      </c>
      <c r="G29" s="22">
        <v>569.7</v>
      </c>
      <c r="H29" s="16" t="s">
        <v>1047</v>
      </c>
      <c r="I29" s="41">
        <v>0.4</v>
      </c>
      <c r="J29" s="22">
        <v>120</v>
      </c>
      <c r="K29" s="22"/>
      <c r="L29" s="22">
        <f t="shared" si="16"/>
        <v>0.648</v>
      </c>
      <c r="M29" s="19">
        <f t="shared" si="17"/>
        <v>0.54</v>
      </c>
      <c r="N29" s="16" t="s">
        <v>1052</v>
      </c>
      <c r="O29" s="42"/>
    </row>
    <row r="30" s="6" customFormat="1" ht="30" customHeight="1" spans="1:15">
      <c r="A30" s="22">
        <v>5</v>
      </c>
      <c r="B30" s="22" t="s">
        <v>70</v>
      </c>
      <c r="C30" s="16" t="s">
        <v>63</v>
      </c>
      <c r="D30" s="22" t="s">
        <v>1055</v>
      </c>
      <c r="E30" s="22">
        <v>569.7</v>
      </c>
      <c r="F30" s="22" t="s">
        <v>1056</v>
      </c>
      <c r="G30" s="22">
        <v>570.2</v>
      </c>
      <c r="H30" s="16" t="s">
        <v>1047</v>
      </c>
      <c r="I30" s="41">
        <v>0.4</v>
      </c>
      <c r="J30" s="22">
        <v>120</v>
      </c>
      <c r="K30" s="22"/>
      <c r="L30" s="22">
        <f t="shared" si="16"/>
        <v>0.648</v>
      </c>
      <c r="M30" s="19">
        <f t="shared" si="17"/>
        <v>0.54</v>
      </c>
      <c r="N30" s="16" t="s">
        <v>1052</v>
      </c>
      <c r="O30" s="42"/>
    </row>
    <row r="31" s="6" customFormat="1" ht="30" customHeight="1" spans="1:15">
      <c r="A31" s="22">
        <v>6</v>
      </c>
      <c r="B31" s="22" t="s">
        <v>70</v>
      </c>
      <c r="C31" s="16" t="s">
        <v>63</v>
      </c>
      <c r="D31" s="22" t="s">
        <v>1056</v>
      </c>
      <c r="E31" s="22">
        <v>570.65</v>
      </c>
      <c r="F31" s="22" t="s">
        <v>1057</v>
      </c>
      <c r="G31" s="22">
        <v>571.05</v>
      </c>
      <c r="H31" s="16" t="s">
        <v>1047</v>
      </c>
      <c r="I31" s="41">
        <v>0.4</v>
      </c>
      <c r="J31" s="22">
        <v>120</v>
      </c>
      <c r="K31" s="22"/>
      <c r="L31" s="22">
        <f t="shared" si="16"/>
        <v>0.648</v>
      </c>
      <c r="M31" s="19">
        <f t="shared" si="17"/>
        <v>0.54</v>
      </c>
      <c r="N31" s="16" t="s">
        <v>1052</v>
      </c>
      <c r="O31" s="42"/>
    </row>
    <row r="32" s="6" customFormat="1" ht="30" customHeight="1" spans="1:15">
      <c r="A32" s="22">
        <v>7</v>
      </c>
      <c r="B32" s="22" t="s">
        <v>70</v>
      </c>
      <c r="C32" s="16" t="s">
        <v>63</v>
      </c>
      <c r="D32" s="22" t="s">
        <v>1058</v>
      </c>
      <c r="E32" s="22">
        <v>575.1</v>
      </c>
      <c r="F32" s="22" t="s">
        <v>817</v>
      </c>
      <c r="G32" s="22">
        <v>575.3</v>
      </c>
      <c r="H32" s="16" t="s">
        <v>1047</v>
      </c>
      <c r="I32" s="41">
        <f t="shared" ref="I32:I35" si="18">G32-E32</f>
        <v>0.199999999999932</v>
      </c>
      <c r="J32" s="22">
        <v>60</v>
      </c>
      <c r="K32" s="22"/>
      <c r="L32" s="22">
        <f t="shared" si="16"/>
        <v>0.324</v>
      </c>
      <c r="M32" s="19">
        <f t="shared" si="17"/>
        <v>0.27</v>
      </c>
      <c r="N32" s="16" t="s">
        <v>1052</v>
      </c>
      <c r="O32" s="42"/>
    </row>
    <row r="33" s="6" customFormat="1" ht="30" customHeight="1" spans="1:15">
      <c r="A33" s="22">
        <v>8</v>
      </c>
      <c r="B33" s="22" t="s">
        <v>70</v>
      </c>
      <c r="C33" s="16" t="s">
        <v>63</v>
      </c>
      <c r="D33" s="22" t="s">
        <v>817</v>
      </c>
      <c r="E33" s="22">
        <v>576.35</v>
      </c>
      <c r="F33" s="22" t="s">
        <v>817</v>
      </c>
      <c r="G33" s="22">
        <v>576.55</v>
      </c>
      <c r="H33" s="16" t="s">
        <v>1047</v>
      </c>
      <c r="I33" s="41">
        <f t="shared" si="18"/>
        <v>0.199999999999932</v>
      </c>
      <c r="J33" s="22">
        <v>60</v>
      </c>
      <c r="K33" s="22"/>
      <c r="L33" s="22">
        <f t="shared" si="16"/>
        <v>0.324</v>
      </c>
      <c r="M33" s="19">
        <f t="shared" si="17"/>
        <v>0.27</v>
      </c>
      <c r="N33" s="16" t="s">
        <v>1052</v>
      </c>
      <c r="O33" s="42"/>
    </row>
    <row r="34" s="6" customFormat="1" ht="30" customHeight="1" spans="1:15">
      <c r="A34" s="22">
        <v>9</v>
      </c>
      <c r="B34" s="22" t="s">
        <v>70</v>
      </c>
      <c r="C34" s="16" t="s">
        <v>63</v>
      </c>
      <c r="D34" s="22" t="s">
        <v>810</v>
      </c>
      <c r="E34" s="22">
        <v>577.6</v>
      </c>
      <c r="F34" s="22" t="s">
        <v>1055</v>
      </c>
      <c r="G34" s="22">
        <v>577.8</v>
      </c>
      <c r="H34" s="16" t="s">
        <v>1047</v>
      </c>
      <c r="I34" s="41">
        <f t="shared" si="18"/>
        <v>0.199999999999932</v>
      </c>
      <c r="J34" s="22">
        <v>60</v>
      </c>
      <c r="K34" s="22"/>
      <c r="L34" s="22">
        <f t="shared" si="16"/>
        <v>0.324</v>
      </c>
      <c r="M34" s="19">
        <f t="shared" si="17"/>
        <v>0.27</v>
      </c>
      <c r="N34" s="16" t="s">
        <v>1052</v>
      </c>
      <c r="O34" s="42"/>
    </row>
    <row r="35" s="6" customFormat="1" ht="30" customHeight="1" spans="1:15">
      <c r="A35" s="22">
        <v>10</v>
      </c>
      <c r="B35" s="22" t="s">
        <v>70</v>
      </c>
      <c r="C35" s="16" t="s">
        <v>63</v>
      </c>
      <c r="D35" s="22" t="s">
        <v>1059</v>
      </c>
      <c r="E35" s="22">
        <v>579.3</v>
      </c>
      <c r="F35" s="22" t="s">
        <v>1060</v>
      </c>
      <c r="G35" s="22">
        <v>579.5</v>
      </c>
      <c r="H35" s="16" t="s">
        <v>1047</v>
      </c>
      <c r="I35" s="41">
        <f t="shared" si="18"/>
        <v>0.200000000000045</v>
      </c>
      <c r="J35" s="22">
        <v>60</v>
      </c>
      <c r="K35" s="22"/>
      <c r="L35" s="22">
        <f t="shared" si="16"/>
        <v>0.324</v>
      </c>
      <c r="M35" s="19">
        <f t="shared" si="17"/>
        <v>0.27</v>
      </c>
      <c r="N35" s="16" t="s">
        <v>1052</v>
      </c>
      <c r="O35" s="42"/>
    </row>
    <row r="36" s="6" customFormat="1" ht="30" customHeight="1" spans="1:15">
      <c r="A36" s="22">
        <v>11</v>
      </c>
      <c r="B36" s="22" t="s">
        <v>70</v>
      </c>
      <c r="C36" s="16" t="s">
        <v>63</v>
      </c>
      <c r="D36" s="22" t="s">
        <v>1060</v>
      </c>
      <c r="E36" s="22">
        <v>580.45</v>
      </c>
      <c r="F36" s="22" t="s">
        <v>1061</v>
      </c>
      <c r="G36" s="22">
        <v>581</v>
      </c>
      <c r="H36" s="16" t="s">
        <v>1047</v>
      </c>
      <c r="I36" s="41">
        <v>0.4</v>
      </c>
      <c r="J36" s="22">
        <v>120</v>
      </c>
      <c r="K36" s="22"/>
      <c r="L36" s="22">
        <f t="shared" si="16"/>
        <v>0.648</v>
      </c>
      <c r="M36" s="19">
        <f t="shared" si="17"/>
        <v>0.54</v>
      </c>
      <c r="N36" s="16" t="s">
        <v>1052</v>
      </c>
      <c r="O36" s="42"/>
    </row>
    <row r="37" s="6" customFormat="1" ht="30" customHeight="1" spans="1:15">
      <c r="A37" s="22">
        <v>12</v>
      </c>
      <c r="B37" s="22" t="s">
        <v>70</v>
      </c>
      <c r="C37" s="16" t="s">
        <v>63</v>
      </c>
      <c r="D37" s="22" t="s">
        <v>1061</v>
      </c>
      <c r="E37" s="22">
        <v>581.74</v>
      </c>
      <c r="F37" s="22" t="s">
        <v>1062</v>
      </c>
      <c r="G37" s="22">
        <v>582.14</v>
      </c>
      <c r="H37" s="16" t="s">
        <v>1047</v>
      </c>
      <c r="I37" s="41">
        <f t="shared" ref="I37:I43" si="19">G37-E37</f>
        <v>0.399999999999977</v>
      </c>
      <c r="J37" s="22">
        <v>120</v>
      </c>
      <c r="K37" s="22">
        <v>71.7</v>
      </c>
      <c r="L37" s="22">
        <f t="shared" si="16"/>
        <v>1.03524</v>
      </c>
      <c r="M37" s="43">
        <f t="shared" ref="M37:M43" si="20">(J37+K37)*0.0045</f>
        <v>0.8627</v>
      </c>
      <c r="N37" s="16" t="s">
        <v>1048</v>
      </c>
      <c r="O37" s="42"/>
    </row>
    <row r="38" s="6" customFormat="1" ht="30" customHeight="1" spans="1:15">
      <c r="A38" s="22">
        <v>13</v>
      </c>
      <c r="B38" s="22" t="s">
        <v>70</v>
      </c>
      <c r="C38" s="16" t="s">
        <v>253</v>
      </c>
      <c r="D38" s="22" t="s">
        <v>759</v>
      </c>
      <c r="E38" s="22">
        <v>7.176</v>
      </c>
      <c r="F38" s="22" t="s">
        <v>1063</v>
      </c>
      <c r="G38" s="22">
        <v>7.376</v>
      </c>
      <c r="H38" s="16" t="s">
        <v>1047</v>
      </c>
      <c r="I38" s="41">
        <f t="shared" si="19"/>
        <v>0.2</v>
      </c>
      <c r="J38" s="22">
        <v>60</v>
      </c>
      <c r="K38" s="22"/>
      <c r="L38" s="22">
        <f t="shared" si="16"/>
        <v>0.324</v>
      </c>
      <c r="M38" s="19">
        <f>J38*45/10000</f>
        <v>0.27</v>
      </c>
      <c r="N38" s="16" t="s">
        <v>1052</v>
      </c>
      <c r="O38" s="42"/>
    </row>
    <row r="39" s="6" customFormat="1" ht="30" customHeight="1" spans="1:15">
      <c r="A39" s="22">
        <v>14</v>
      </c>
      <c r="B39" s="22" t="s">
        <v>70</v>
      </c>
      <c r="C39" s="16" t="s">
        <v>253</v>
      </c>
      <c r="D39" s="22" t="s">
        <v>1063</v>
      </c>
      <c r="E39" s="22">
        <v>7.5</v>
      </c>
      <c r="F39" s="22" t="s">
        <v>1064</v>
      </c>
      <c r="G39" s="22">
        <v>7.7</v>
      </c>
      <c r="H39" s="16" t="s">
        <v>1047</v>
      </c>
      <c r="I39" s="41">
        <v>0.26</v>
      </c>
      <c r="J39" s="22">
        <v>78</v>
      </c>
      <c r="K39" s="22"/>
      <c r="L39" s="22">
        <f t="shared" si="16"/>
        <v>0.42</v>
      </c>
      <c r="M39" s="19">
        <f>J39*45/10000</f>
        <v>0.35</v>
      </c>
      <c r="N39" s="16" t="s">
        <v>1052</v>
      </c>
      <c r="O39" s="42"/>
    </row>
    <row r="40" s="6" customFormat="1" ht="30" customHeight="1" spans="1:15">
      <c r="A40" s="22">
        <v>15</v>
      </c>
      <c r="B40" s="22" t="s">
        <v>70</v>
      </c>
      <c r="C40" s="16" t="s">
        <v>822</v>
      </c>
      <c r="D40" s="22" t="s">
        <v>1065</v>
      </c>
      <c r="E40" s="22">
        <v>28.782</v>
      </c>
      <c r="F40" s="22" t="s">
        <v>1065</v>
      </c>
      <c r="G40" s="22">
        <v>30.298</v>
      </c>
      <c r="H40" s="16" t="s">
        <v>1047</v>
      </c>
      <c r="I40" s="41">
        <f t="shared" si="19"/>
        <v>1.516</v>
      </c>
      <c r="J40" s="22"/>
      <c r="K40" s="22">
        <v>227.4</v>
      </c>
      <c r="L40" s="22">
        <f t="shared" si="16"/>
        <v>1.22796</v>
      </c>
      <c r="M40" s="22">
        <f t="shared" si="20"/>
        <v>1.0233</v>
      </c>
      <c r="N40" s="16" t="s">
        <v>1066</v>
      </c>
      <c r="O40" s="42"/>
    </row>
    <row r="41" s="6" customFormat="1" ht="30" customHeight="1" spans="1:15">
      <c r="A41" s="22">
        <v>16</v>
      </c>
      <c r="B41" s="22" t="s">
        <v>70</v>
      </c>
      <c r="C41" s="16" t="s">
        <v>446</v>
      </c>
      <c r="D41" s="22" t="s">
        <v>1067</v>
      </c>
      <c r="E41" s="22">
        <v>36.694</v>
      </c>
      <c r="F41" s="22" t="s">
        <v>1067</v>
      </c>
      <c r="G41" s="22">
        <v>37.4</v>
      </c>
      <c r="H41" s="16" t="s">
        <v>1047</v>
      </c>
      <c r="I41" s="41">
        <f t="shared" si="19"/>
        <v>0.705999999999996</v>
      </c>
      <c r="J41" s="22"/>
      <c r="K41" s="22">
        <f t="shared" ref="K41:K43" si="21">I41*0.15*1000</f>
        <v>105.899999999999</v>
      </c>
      <c r="L41" s="22">
        <f t="shared" si="16"/>
        <v>0.571859999999994</v>
      </c>
      <c r="M41" s="22">
        <f t="shared" si="20"/>
        <v>0.476549999999995</v>
      </c>
      <c r="N41" s="16" t="s">
        <v>1066</v>
      </c>
      <c r="O41" s="42"/>
    </row>
    <row r="42" s="6" customFormat="1" ht="30" customHeight="1" spans="1:15">
      <c r="A42" s="22">
        <v>17</v>
      </c>
      <c r="B42" s="22" t="s">
        <v>70</v>
      </c>
      <c r="C42" s="16" t="s">
        <v>446</v>
      </c>
      <c r="D42" s="22" t="s">
        <v>448</v>
      </c>
      <c r="E42" s="22">
        <v>30.363</v>
      </c>
      <c r="F42" s="22" t="s">
        <v>448</v>
      </c>
      <c r="G42" s="22">
        <v>31.24</v>
      </c>
      <c r="H42" s="16" t="s">
        <v>1047</v>
      </c>
      <c r="I42" s="41">
        <f t="shared" si="19"/>
        <v>0.876999999999999</v>
      </c>
      <c r="J42" s="22"/>
      <c r="K42" s="22">
        <f t="shared" si="21"/>
        <v>131.55</v>
      </c>
      <c r="L42" s="22">
        <f t="shared" si="16"/>
        <v>0.71037</v>
      </c>
      <c r="M42" s="22">
        <f t="shared" si="20"/>
        <v>0.591975</v>
      </c>
      <c r="N42" s="16" t="s">
        <v>1066</v>
      </c>
      <c r="O42" s="42"/>
    </row>
    <row r="43" s="6" customFormat="1" ht="30" customHeight="1" spans="1:15">
      <c r="A43" s="22">
        <v>18</v>
      </c>
      <c r="B43" s="23" t="s">
        <v>70</v>
      </c>
      <c r="C43" s="20" t="s">
        <v>446</v>
      </c>
      <c r="D43" s="23" t="s">
        <v>767</v>
      </c>
      <c r="E43" s="23">
        <v>14.112</v>
      </c>
      <c r="F43" s="23" t="s">
        <v>765</v>
      </c>
      <c r="G43" s="23">
        <v>14.3</v>
      </c>
      <c r="H43" s="16" t="s">
        <v>1047</v>
      </c>
      <c r="I43" s="41">
        <f t="shared" si="19"/>
        <v>0.188000000000001</v>
      </c>
      <c r="J43" s="22"/>
      <c r="K43" s="22">
        <f t="shared" si="21"/>
        <v>28.2000000000002</v>
      </c>
      <c r="L43" s="22">
        <f t="shared" si="16"/>
        <v>0.152280000000001</v>
      </c>
      <c r="M43" s="22">
        <f t="shared" si="20"/>
        <v>0.126900000000001</v>
      </c>
      <c r="N43" s="16" t="s">
        <v>1066</v>
      </c>
      <c r="O43" s="42"/>
    </row>
    <row r="44" s="5" customFormat="1" ht="30" customHeight="1" spans="1:15">
      <c r="A44" s="15" t="s">
        <v>258</v>
      </c>
      <c r="B44" s="15"/>
      <c r="C44" s="15"/>
      <c r="D44" s="15"/>
      <c r="E44" s="15"/>
      <c r="F44" s="15"/>
      <c r="G44" s="15"/>
      <c r="H44" s="15"/>
      <c r="I44" s="38">
        <f t="shared" ref="I44:M44" si="22">SUM(I45:I61)</f>
        <v>3.07000000000003</v>
      </c>
      <c r="J44" s="38">
        <f t="shared" si="22"/>
        <v>921.00000000001</v>
      </c>
      <c r="K44" s="38">
        <f t="shared" si="22"/>
        <v>0</v>
      </c>
      <c r="L44" s="38">
        <f t="shared" si="22"/>
        <v>4.9734</v>
      </c>
      <c r="M44" s="38">
        <f t="shared" si="22"/>
        <v>4.1445</v>
      </c>
      <c r="N44" s="15"/>
      <c r="O44" s="44"/>
    </row>
    <row r="45" s="6" customFormat="1" ht="31" customHeight="1" spans="1:15">
      <c r="A45" s="16">
        <v>1</v>
      </c>
      <c r="B45" s="16" t="s">
        <v>258</v>
      </c>
      <c r="C45" s="16" t="s">
        <v>253</v>
      </c>
      <c r="D45" s="16" t="s">
        <v>776</v>
      </c>
      <c r="E45" s="24">
        <v>65.079</v>
      </c>
      <c r="F45" s="16" t="s">
        <v>776</v>
      </c>
      <c r="G45" s="25">
        <v>65.179</v>
      </c>
      <c r="H45" s="16" t="s">
        <v>1047</v>
      </c>
      <c r="I45" s="40">
        <v>0.100000000000009</v>
      </c>
      <c r="J45" s="45">
        <v>30.0000000000027</v>
      </c>
      <c r="K45" s="45"/>
      <c r="L45" s="46">
        <f t="shared" ref="L45:L61" si="23">M45*1.2</f>
        <v>0.162</v>
      </c>
      <c r="M45" s="47">
        <f t="shared" ref="M45:M50" si="24">J45*45/10000</f>
        <v>0.135</v>
      </c>
      <c r="N45" s="45" t="s">
        <v>1068</v>
      </c>
      <c r="O45" s="48"/>
    </row>
    <row r="46" s="6" customFormat="1" ht="31" customHeight="1" spans="1:15">
      <c r="A46" s="16">
        <v>2</v>
      </c>
      <c r="B46" s="16" t="s">
        <v>258</v>
      </c>
      <c r="C46" s="16" t="s">
        <v>253</v>
      </c>
      <c r="D46" s="16" t="s">
        <v>776</v>
      </c>
      <c r="E46" s="24">
        <v>65.565</v>
      </c>
      <c r="F46" s="16" t="s">
        <v>776</v>
      </c>
      <c r="G46" s="25">
        <v>65.665</v>
      </c>
      <c r="H46" s="16" t="s">
        <v>1047</v>
      </c>
      <c r="I46" s="40">
        <v>0.100000000000009</v>
      </c>
      <c r="J46" s="45">
        <v>30.0000000000027</v>
      </c>
      <c r="K46" s="45"/>
      <c r="L46" s="46">
        <f t="shared" si="23"/>
        <v>0.162</v>
      </c>
      <c r="M46" s="47">
        <f t="shared" si="24"/>
        <v>0.135</v>
      </c>
      <c r="N46" s="45" t="s">
        <v>1068</v>
      </c>
      <c r="O46" s="48"/>
    </row>
    <row r="47" s="6" customFormat="1" ht="31" customHeight="1" spans="1:15">
      <c r="A47" s="16">
        <v>3</v>
      </c>
      <c r="B47" s="16" t="s">
        <v>258</v>
      </c>
      <c r="C47" s="16" t="s">
        <v>253</v>
      </c>
      <c r="D47" s="16" t="s">
        <v>776</v>
      </c>
      <c r="E47" s="24">
        <v>65.85</v>
      </c>
      <c r="F47" s="16" t="s">
        <v>776</v>
      </c>
      <c r="G47" s="25">
        <v>66</v>
      </c>
      <c r="H47" s="16" t="s">
        <v>1047</v>
      </c>
      <c r="I47" s="40">
        <v>0.150000000000006</v>
      </c>
      <c r="J47" s="45">
        <v>45.0000000000018</v>
      </c>
      <c r="K47" s="45"/>
      <c r="L47" s="46">
        <f t="shared" si="23"/>
        <v>0.243</v>
      </c>
      <c r="M47" s="47">
        <f t="shared" si="24"/>
        <v>0.2025</v>
      </c>
      <c r="N47" s="45" t="s">
        <v>1068</v>
      </c>
      <c r="O47" s="48"/>
    </row>
    <row r="48" s="6" customFormat="1" ht="31" customHeight="1" spans="1:15">
      <c r="A48" s="16">
        <v>4</v>
      </c>
      <c r="B48" s="16" t="s">
        <v>258</v>
      </c>
      <c r="C48" s="16" t="s">
        <v>253</v>
      </c>
      <c r="D48" s="16" t="s">
        <v>844</v>
      </c>
      <c r="E48" s="24">
        <v>86.9</v>
      </c>
      <c r="F48" s="16" t="s">
        <v>844</v>
      </c>
      <c r="G48" s="25">
        <v>87.15</v>
      </c>
      <c r="H48" s="16" t="s">
        <v>1047</v>
      </c>
      <c r="I48" s="40">
        <v>0.25</v>
      </c>
      <c r="J48" s="45">
        <v>75</v>
      </c>
      <c r="K48" s="45"/>
      <c r="L48" s="46">
        <f t="shared" si="23"/>
        <v>0.405</v>
      </c>
      <c r="M48" s="47">
        <f t="shared" si="24"/>
        <v>0.3375</v>
      </c>
      <c r="N48" s="45" t="s">
        <v>1068</v>
      </c>
      <c r="O48" s="48"/>
    </row>
    <row r="49" s="6" customFormat="1" ht="31" customHeight="1" spans="1:15">
      <c r="A49" s="16">
        <v>5</v>
      </c>
      <c r="B49" s="16" t="s">
        <v>258</v>
      </c>
      <c r="C49" s="16" t="s">
        <v>253</v>
      </c>
      <c r="D49" s="16" t="s">
        <v>1069</v>
      </c>
      <c r="E49" s="24">
        <v>95.58</v>
      </c>
      <c r="F49" s="16" t="s">
        <v>1069</v>
      </c>
      <c r="G49" s="25">
        <v>95.9</v>
      </c>
      <c r="H49" s="16" t="s">
        <v>1047</v>
      </c>
      <c r="I49" s="40">
        <v>0.320000000000007</v>
      </c>
      <c r="J49" s="45">
        <v>96.0000000000021</v>
      </c>
      <c r="K49" s="45"/>
      <c r="L49" s="46">
        <f t="shared" si="23"/>
        <v>0.5184</v>
      </c>
      <c r="M49" s="47">
        <f t="shared" si="24"/>
        <v>0.432</v>
      </c>
      <c r="N49" s="45" t="s">
        <v>1068</v>
      </c>
      <c r="O49" s="48"/>
    </row>
    <row r="50" s="6" customFormat="1" ht="31" customHeight="1" spans="1:15">
      <c r="A50" s="16">
        <v>6</v>
      </c>
      <c r="B50" s="20" t="s">
        <v>258</v>
      </c>
      <c r="C50" s="20" t="s">
        <v>322</v>
      </c>
      <c r="D50" s="20" t="s">
        <v>776</v>
      </c>
      <c r="E50" s="26">
        <v>1.35</v>
      </c>
      <c r="F50" s="20" t="s">
        <v>776</v>
      </c>
      <c r="G50" s="27">
        <v>1.5</v>
      </c>
      <c r="H50" s="16" t="s">
        <v>1047</v>
      </c>
      <c r="I50" s="40">
        <v>0.15</v>
      </c>
      <c r="J50" s="45">
        <v>45</v>
      </c>
      <c r="K50" s="45"/>
      <c r="L50" s="46">
        <f t="shared" si="23"/>
        <v>0.243</v>
      </c>
      <c r="M50" s="47">
        <f t="shared" si="24"/>
        <v>0.2025</v>
      </c>
      <c r="N50" s="49" t="s">
        <v>1068</v>
      </c>
      <c r="O50" s="49"/>
    </row>
    <row r="51" s="6" customFormat="1" ht="31" customHeight="1" spans="1:15">
      <c r="A51" s="16">
        <v>7</v>
      </c>
      <c r="B51" s="20" t="s">
        <v>258</v>
      </c>
      <c r="C51" s="20" t="s">
        <v>322</v>
      </c>
      <c r="D51" s="20" t="s">
        <v>776</v>
      </c>
      <c r="E51" s="28">
        <v>3.6</v>
      </c>
      <c r="F51" s="20" t="s">
        <v>776</v>
      </c>
      <c r="G51" s="28">
        <v>3.7</v>
      </c>
      <c r="H51" s="16" t="s">
        <v>1047</v>
      </c>
      <c r="I51" s="40">
        <v>0.1</v>
      </c>
      <c r="J51" s="45">
        <v>30</v>
      </c>
      <c r="K51" s="45"/>
      <c r="L51" s="46">
        <f t="shared" si="23"/>
        <v>0.162</v>
      </c>
      <c r="M51" s="47">
        <f>(J51+K51)*45/10000</f>
        <v>0.135</v>
      </c>
      <c r="N51" s="50" t="s">
        <v>1068</v>
      </c>
      <c r="O51" s="50"/>
    </row>
    <row r="52" s="6" customFormat="1" ht="31" customHeight="1" spans="1:15">
      <c r="A52" s="16">
        <v>8</v>
      </c>
      <c r="B52" s="20" t="s">
        <v>258</v>
      </c>
      <c r="C52" s="20" t="s">
        <v>322</v>
      </c>
      <c r="D52" s="20" t="s">
        <v>776</v>
      </c>
      <c r="E52" s="28">
        <v>7.1</v>
      </c>
      <c r="F52" s="20" t="s">
        <v>776</v>
      </c>
      <c r="G52" s="28">
        <v>7.3</v>
      </c>
      <c r="H52" s="16" t="s">
        <v>1047</v>
      </c>
      <c r="I52" s="40">
        <v>0.2</v>
      </c>
      <c r="J52" s="45">
        <v>60</v>
      </c>
      <c r="K52" s="45"/>
      <c r="L52" s="46">
        <f t="shared" si="23"/>
        <v>0.324</v>
      </c>
      <c r="M52" s="47">
        <f t="shared" ref="M52:M61" si="25">J52*45/10000</f>
        <v>0.27</v>
      </c>
      <c r="N52" s="50" t="s">
        <v>1068</v>
      </c>
      <c r="O52" s="50"/>
    </row>
    <row r="53" s="6" customFormat="1" ht="31" customHeight="1" spans="1:15">
      <c r="A53" s="16">
        <v>9</v>
      </c>
      <c r="B53" s="20" t="s">
        <v>258</v>
      </c>
      <c r="C53" s="20" t="s">
        <v>322</v>
      </c>
      <c r="D53" s="16" t="s">
        <v>778</v>
      </c>
      <c r="E53" s="28">
        <v>10.2</v>
      </c>
      <c r="F53" s="16" t="s">
        <v>778</v>
      </c>
      <c r="G53" s="28">
        <v>10.4</v>
      </c>
      <c r="H53" s="16" t="s">
        <v>1047</v>
      </c>
      <c r="I53" s="40">
        <v>0.200000000000001</v>
      </c>
      <c r="J53" s="45">
        <v>60.0000000000003</v>
      </c>
      <c r="K53" s="45"/>
      <c r="L53" s="46">
        <f t="shared" si="23"/>
        <v>0.324</v>
      </c>
      <c r="M53" s="47">
        <f t="shared" si="25"/>
        <v>0.27</v>
      </c>
      <c r="N53" s="50" t="s">
        <v>1068</v>
      </c>
      <c r="O53" s="50"/>
    </row>
    <row r="54" s="6" customFormat="1" ht="31" customHeight="1" spans="1:15">
      <c r="A54" s="16">
        <v>10</v>
      </c>
      <c r="B54" s="20" t="s">
        <v>258</v>
      </c>
      <c r="C54" s="20" t="s">
        <v>322</v>
      </c>
      <c r="D54" s="16" t="s">
        <v>778</v>
      </c>
      <c r="E54" s="28">
        <v>10.7</v>
      </c>
      <c r="F54" s="16" t="s">
        <v>778</v>
      </c>
      <c r="G54" s="28">
        <v>10.8</v>
      </c>
      <c r="H54" s="16" t="s">
        <v>1047</v>
      </c>
      <c r="I54" s="40">
        <v>0.100000000000001</v>
      </c>
      <c r="J54" s="45">
        <v>30.0000000000003</v>
      </c>
      <c r="K54" s="45"/>
      <c r="L54" s="46">
        <f t="shared" si="23"/>
        <v>0.162</v>
      </c>
      <c r="M54" s="47">
        <f t="shared" si="25"/>
        <v>0.135</v>
      </c>
      <c r="N54" s="50" t="s">
        <v>1068</v>
      </c>
      <c r="O54" s="50"/>
    </row>
    <row r="55" s="6" customFormat="1" ht="31" customHeight="1" spans="1:15">
      <c r="A55" s="16">
        <v>11</v>
      </c>
      <c r="B55" s="20" t="s">
        <v>258</v>
      </c>
      <c r="C55" s="20" t="s">
        <v>322</v>
      </c>
      <c r="D55" s="16" t="s">
        <v>778</v>
      </c>
      <c r="E55" s="28">
        <v>11.3</v>
      </c>
      <c r="F55" s="16" t="s">
        <v>778</v>
      </c>
      <c r="G55" s="28">
        <v>11.5</v>
      </c>
      <c r="H55" s="16" t="s">
        <v>1047</v>
      </c>
      <c r="I55" s="40">
        <v>0.199999999999999</v>
      </c>
      <c r="J55" s="45">
        <v>59.9999999999997</v>
      </c>
      <c r="K55" s="45"/>
      <c r="L55" s="46">
        <f t="shared" si="23"/>
        <v>0.324</v>
      </c>
      <c r="M55" s="47">
        <f t="shared" si="25"/>
        <v>0.27</v>
      </c>
      <c r="N55" s="50" t="s">
        <v>1068</v>
      </c>
      <c r="O55" s="50"/>
    </row>
    <row r="56" s="6" customFormat="1" ht="31" customHeight="1" spans="1:15">
      <c r="A56" s="16">
        <v>12</v>
      </c>
      <c r="B56" s="20" t="s">
        <v>258</v>
      </c>
      <c r="C56" s="20" t="s">
        <v>322</v>
      </c>
      <c r="D56" s="16" t="s">
        <v>778</v>
      </c>
      <c r="E56" s="29">
        <v>13.15</v>
      </c>
      <c r="F56" s="16" t="s">
        <v>778</v>
      </c>
      <c r="G56" s="29">
        <v>13.3</v>
      </c>
      <c r="H56" s="16" t="s">
        <v>1047</v>
      </c>
      <c r="I56" s="40">
        <v>0.15</v>
      </c>
      <c r="J56" s="45">
        <v>45</v>
      </c>
      <c r="K56" s="45"/>
      <c r="L56" s="46">
        <f t="shared" si="23"/>
        <v>0.243</v>
      </c>
      <c r="M56" s="47">
        <f t="shared" si="25"/>
        <v>0.2025</v>
      </c>
      <c r="N56" s="50" t="s">
        <v>1068</v>
      </c>
      <c r="O56" s="50"/>
    </row>
    <row r="57" s="6" customFormat="1" ht="31" customHeight="1" spans="1:15">
      <c r="A57" s="16">
        <v>13</v>
      </c>
      <c r="B57" s="20" t="s">
        <v>258</v>
      </c>
      <c r="C57" s="20" t="s">
        <v>322</v>
      </c>
      <c r="D57" s="16" t="s">
        <v>778</v>
      </c>
      <c r="E57" s="29">
        <v>15</v>
      </c>
      <c r="F57" s="16" t="s">
        <v>778</v>
      </c>
      <c r="G57" s="29">
        <v>15.15</v>
      </c>
      <c r="H57" s="16" t="s">
        <v>1047</v>
      </c>
      <c r="I57" s="40">
        <v>0.15</v>
      </c>
      <c r="J57" s="45">
        <v>45</v>
      </c>
      <c r="K57" s="45"/>
      <c r="L57" s="46">
        <f t="shared" si="23"/>
        <v>0.243</v>
      </c>
      <c r="M57" s="47">
        <f t="shared" si="25"/>
        <v>0.2025</v>
      </c>
      <c r="N57" s="50" t="s">
        <v>1068</v>
      </c>
      <c r="O57" s="50"/>
    </row>
    <row r="58" s="6" customFormat="1" ht="31" customHeight="1" spans="1:15">
      <c r="A58" s="16">
        <v>14</v>
      </c>
      <c r="B58" s="20" t="s">
        <v>258</v>
      </c>
      <c r="C58" s="20" t="s">
        <v>322</v>
      </c>
      <c r="D58" s="16" t="s">
        <v>778</v>
      </c>
      <c r="E58" s="28">
        <v>20.426</v>
      </c>
      <c r="F58" s="16" t="s">
        <v>778</v>
      </c>
      <c r="G58" s="28">
        <v>20.576</v>
      </c>
      <c r="H58" s="16" t="s">
        <v>1047</v>
      </c>
      <c r="I58" s="40">
        <v>0.150000000000002</v>
      </c>
      <c r="J58" s="45">
        <v>45.0000000000006</v>
      </c>
      <c r="K58" s="45"/>
      <c r="L58" s="46">
        <f t="shared" si="23"/>
        <v>0.243</v>
      </c>
      <c r="M58" s="47">
        <f t="shared" si="25"/>
        <v>0.2025</v>
      </c>
      <c r="N58" s="50" t="s">
        <v>1068</v>
      </c>
      <c r="O58" s="50"/>
    </row>
    <row r="59" s="6" customFormat="1" ht="31" customHeight="1" spans="1:15">
      <c r="A59" s="16">
        <v>15</v>
      </c>
      <c r="B59" s="20" t="s">
        <v>258</v>
      </c>
      <c r="C59" s="20" t="s">
        <v>322</v>
      </c>
      <c r="D59" s="16" t="s">
        <v>778</v>
      </c>
      <c r="E59" s="28">
        <v>20.843</v>
      </c>
      <c r="F59" s="16" t="s">
        <v>778</v>
      </c>
      <c r="G59" s="28">
        <v>21.043</v>
      </c>
      <c r="H59" s="16" t="s">
        <v>1047</v>
      </c>
      <c r="I59" s="40">
        <v>0.199999999999999</v>
      </c>
      <c r="J59" s="45">
        <v>59.9999999999997</v>
      </c>
      <c r="K59" s="45"/>
      <c r="L59" s="46">
        <f t="shared" si="23"/>
        <v>0.324</v>
      </c>
      <c r="M59" s="47">
        <f t="shared" si="25"/>
        <v>0.27</v>
      </c>
      <c r="N59" s="50" t="s">
        <v>1068</v>
      </c>
      <c r="O59" s="50"/>
    </row>
    <row r="60" s="6" customFormat="1" ht="31" customHeight="1" spans="1:15">
      <c r="A60" s="16">
        <v>16</v>
      </c>
      <c r="B60" s="20" t="s">
        <v>258</v>
      </c>
      <c r="C60" s="20" t="s">
        <v>322</v>
      </c>
      <c r="D60" s="16" t="s">
        <v>778</v>
      </c>
      <c r="E60" s="28">
        <v>21.2</v>
      </c>
      <c r="F60" s="16" t="s">
        <v>778</v>
      </c>
      <c r="G60" s="28">
        <v>21.45</v>
      </c>
      <c r="H60" s="16" t="s">
        <v>1047</v>
      </c>
      <c r="I60" s="40">
        <v>0.25</v>
      </c>
      <c r="J60" s="45">
        <v>75</v>
      </c>
      <c r="K60" s="45"/>
      <c r="L60" s="46">
        <f t="shared" si="23"/>
        <v>0.405</v>
      </c>
      <c r="M60" s="47">
        <f t="shared" si="25"/>
        <v>0.3375</v>
      </c>
      <c r="N60" s="50" t="s">
        <v>1068</v>
      </c>
      <c r="O60" s="50"/>
    </row>
    <row r="61" s="6" customFormat="1" ht="31" customHeight="1" spans="1:15">
      <c r="A61" s="16">
        <v>17</v>
      </c>
      <c r="B61" s="20" t="s">
        <v>258</v>
      </c>
      <c r="C61" s="20" t="s">
        <v>322</v>
      </c>
      <c r="D61" s="20" t="s">
        <v>778</v>
      </c>
      <c r="E61" s="30">
        <v>26</v>
      </c>
      <c r="F61" s="20" t="s">
        <v>778</v>
      </c>
      <c r="G61" s="30">
        <v>26.3</v>
      </c>
      <c r="H61" s="16" t="s">
        <v>1047</v>
      </c>
      <c r="I61" s="40">
        <v>0.300000000000001</v>
      </c>
      <c r="J61" s="45">
        <v>90.0000000000003</v>
      </c>
      <c r="K61" s="45"/>
      <c r="L61" s="46">
        <f t="shared" si="23"/>
        <v>0.486</v>
      </c>
      <c r="M61" s="47">
        <f t="shared" si="25"/>
        <v>0.405</v>
      </c>
      <c r="N61" s="50" t="s">
        <v>1068</v>
      </c>
      <c r="O61" s="16"/>
    </row>
    <row r="62" s="5" customFormat="1" ht="31" customHeight="1" spans="1:15">
      <c r="A62" s="15" t="s">
        <v>157</v>
      </c>
      <c r="B62" s="15"/>
      <c r="C62" s="15"/>
      <c r="D62" s="15"/>
      <c r="E62" s="15"/>
      <c r="F62" s="15"/>
      <c r="G62" s="15"/>
      <c r="H62" s="15"/>
      <c r="I62" s="38">
        <f t="shared" ref="I62:M62" si="26">SUM(I63:I80)</f>
        <v>7.51</v>
      </c>
      <c r="J62" s="38">
        <f t="shared" si="26"/>
        <v>2163</v>
      </c>
      <c r="K62" s="38">
        <f t="shared" si="26"/>
        <v>45</v>
      </c>
      <c r="L62" s="38">
        <f t="shared" si="26"/>
        <v>11.9232</v>
      </c>
      <c r="M62" s="38">
        <f t="shared" si="26"/>
        <v>9.936</v>
      </c>
      <c r="N62" s="51"/>
      <c r="O62" s="15"/>
    </row>
    <row r="63" s="6" customFormat="1" ht="32" customHeight="1" spans="1:15">
      <c r="A63" s="22">
        <v>1</v>
      </c>
      <c r="B63" s="16" t="s">
        <v>157</v>
      </c>
      <c r="C63" s="16" t="s">
        <v>396</v>
      </c>
      <c r="D63" s="22" t="s">
        <v>1070</v>
      </c>
      <c r="E63" s="16">
        <v>1970.55</v>
      </c>
      <c r="F63" s="22" t="s">
        <v>1071</v>
      </c>
      <c r="G63" s="22">
        <v>1970.7</v>
      </c>
      <c r="H63" s="16" t="s">
        <v>1047</v>
      </c>
      <c r="I63" s="45">
        <v>0.3</v>
      </c>
      <c r="J63" s="22">
        <v>90</v>
      </c>
      <c r="K63" s="22"/>
      <c r="L63" s="22">
        <f t="shared" ref="L63:L80" si="27">M63*1.2</f>
        <v>0.486</v>
      </c>
      <c r="M63" s="22">
        <f t="shared" ref="M63:M65" si="28">J63*45/10000</f>
        <v>0.405</v>
      </c>
      <c r="N63" s="16" t="s">
        <v>1068</v>
      </c>
      <c r="O63" s="42"/>
    </row>
    <row r="64" s="6" customFormat="1" ht="32" customHeight="1" spans="1:15">
      <c r="A64" s="22">
        <v>2</v>
      </c>
      <c r="B64" s="16" t="s">
        <v>157</v>
      </c>
      <c r="C64" s="16" t="s">
        <v>396</v>
      </c>
      <c r="D64" s="22" t="s">
        <v>1070</v>
      </c>
      <c r="E64" s="31">
        <v>2007</v>
      </c>
      <c r="F64" s="22" t="s">
        <v>1071</v>
      </c>
      <c r="G64" s="22">
        <v>2007.45</v>
      </c>
      <c r="H64" s="16" t="s">
        <v>1047</v>
      </c>
      <c r="I64" s="45">
        <v>0.9</v>
      </c>
      <c r="J64" s="22">
        <v>270</v>
      </c>
      <c r="K64" s="22"/>
      <c r="L64" s="22">
        <f t="shared" si="27"/>
        <v>1.458</v>
      </c>
      <c r="M64" s="22">
        <f t="shared" si="28"/>
        <v>1.215</v>
      </c>
      <c r="N64" s="16" t="s">
        <v>1068</v>
      </c>
      <c r="O64" s="42"/>
    </row>
    <row r="65" s="6" customFormat="1" ht="32" customHeight="1" spans="1:15">
      <c r="A65" s="22">
        <v>3</v>
      </c>
      <c r="B65" s="16" t="s">
        <v>157</v>
      </c>
      <c r="C65" s="16" t="s">
        <v>396</v>
      </c>
      <c r="D65" s="22" t="s">
        <v>1070</v>
      </c>
      <c r="E65" s="52">
        <v>2008.6</v>
      </c>
      <c r="F65" s="22" t="s">
        <v>1071</v>
      </c>
      <c r="G65" s="22">
        <v>2008.9</v>
      </c>
      <c r="H65" s="16" t="s">
        <v>1047</v>
      </c>
      <c r="I65" s="45">
        <v>0.3</v>
      </c>
      <c r="J65" s="22">
        <v>90</v>
      </c>
      <c r="K65" s="22"/>
      <c r="L65" s="22">
        <f t="shared" si="27"/>
        <v>0.486</v>
      </c>
      <c r="M65" s="22">
        <f t="shared" si="28"/>
        <v>0.405</v>
      </c>
      <c r="N65" s="16" t="s">
        <v>1068</v>
      </c>
      <c r="O65" s="42"/>
    </row>
    <row r="66" s="6" customFormat="1" ht="32" customHeight="1" spans="1:15">
      <c r="A66" s="22">
        <v>4</v>
      </c>
      <c r="B66" s="16" t="s">
        <v>157</v>
      </c>
      <c r="C66" s="16" t="s">
        <v>396</v>
      </c>
      <c r="D66" s="22" t="s">
        <v>1070</v>
      </c>
      <c r="E66" s="31">
        <v>2015.8</v>
      </c>
      <c r="F66" s="22" t="s">
        <v>1071</v>
      </c>
      <c r="G66" s="22">
        <v>2016.1</v>
      </c>
      <c r="H66" s="16" t="s">
        <v>1047</v>
      </c>
      <c r="I66" s="45">
        <v>0.3</v>
      </c>
      <c r="J66" s="22"/>
      <c r="K66" s="45">
        <v>45</v>
      </c>
      <c r="L66" s="22">
        <f t="shared" si="27"/>
        <v>0.243</v>
      </c>
      <c r="M66" s="22">
        <f>K66*45/10000</f>
        <v>0.2025</v>
      </c>
      <c r="N66" s="16" t="s">
        <v>1066</v>
      </c>
      <c r="O66" s="42"/>
    </row>
    <row r="67" s="6" customFormat="1" ht="32" customHeight="1" spans="1:15">
      <c r="A67" s="22">
        <v>5</v>
      </c>
      <c r="B67" s="16" t="s">
        <v>157</v>
      </c>
      <c r="C67" s="16" t="s">
        <v>396</v>
      </c>
      <c r="D67" s="22" t="s">
        <v>1070</v>
      </c>
      <c r="E67" s="31">
        <v>2018.2</v>
      </c>
      <c r="F67" s="22" t="s">
        <v>1071</v>
      </c>
      <c r="G67" s="22">
        <v>2018.8</v>
      </c>
      <c r="H67" s="16" t="s">
        <v>1047</v>
      </c>
      <c r="I67" s="45">
        <v>0.6</v>
      </c>
      <c r="J67" s="22">
        <v>180</v>
      </c>
      <c r="K67" s="22"/>
      <c r="L67" s="22">
        <f t="shared" si="27"/>
        <v>0.972</v>
      </c>
      <c r="M67" s="22">
        <f t="shared" ref="M67:M80" si="29">J67*45/10000</f>
        <v>0.81</v>
      </c>
      <c r="N67" s="16" t="s">
        <v>1068</v>
      </c>
      <c r="O67" s="42"/>
    </row>
    <row r="68" s="6" customFormat="1" ht="32" customHeight="1" spans="1:15">
      <c r="A68" s="22">
        <v>6</v>
      </c>
      <c r="B68" s="16" t="s">
        <v>157</v>
      </c>
      <c r="C68" s="16" t="s">
        <v>396</v>
      </c>
      <c r="D68" s="22" t="s">
        <v>1070</v>
      </c>
      <c r="E68" s="53">
        <v>2020.9</v>
      </c>
      <c r="F68" s="22" t="s">
        <v>1071</v>
      </c>
      <c r="G68" s="22">
        <v>2021.4</v>
      </c>
      <c r="H68" s="16" t="s">
        <v>1047</v>
      </c>
      <c r="I68" s="45">
        <v>0.5</v>
      </c>
      <c r="J68" s="22">
        <v>150</v>
      </c>
      <c r="K68" s="22"/>
      <c r="L68" s="22">
        <f t="shared" si="27"/>
        <v>0.81</v>
      </c>
      <c r="M68" s="22">
        <f t="shared" si="29"/>
        <v>0.675</v>
      </c>
      <c r="N68" s="16" t="s">
        <v>1068</v>
      </c>
      <c r="O68" s="42"/>
    </row>
    <row r="69" s="6" customFormat="1" ht="32" customHeight="1" spans="1:15">
      <c r="A69" s="22">
        <v>7</v>
      </c>
      <c r="B69" s="16" t="s">
        <v>157</v>
      </c>
      <c r="C69" s="16" t="s">
        <v>396</v>
      </c>
      <c r="D69" s="22" t="s">
        <v>1070</v>
      </c>
      <c r="E69" s="54">
        <v>2021.8</v>
      </c>
      <c r="F69" s="22" t="s">
        <v>1071</v>
      </c>
      <c r="G69" s="22">
        <v>2022.5</v>
      </c>
      <c r="H69" s="16" t="s">
        <v>1047</v>
      </c>
      <c r="I69" s="45">
        <v>0.7</v>
      </c>
      <c r="J69" s="22">
        <v>210</v>
      </c>
      <c r="K69" s="22"/>
      <c r="L69" s="22">
        <f t="shared" si="27"/>
        <v>1.134</v>
      </c>
      <c r="M69" s="22">
        <f t="shared" si="29"/>
        <v>0.945</v>
      </c>
      <c r="N69" s="16" t="s">
        <v>1068</v>
      </c>
      <c r="O69" s="42"/>
    </row>
    <row r="70" s="6" customFormat="1" ht="32" customHeight="1" spans="1:15">
      <c r="A70" s="22">
        <v>8</v>
      </c>
      <c r="B70" s="16" t="s">
        <v>157</v>
      </c>
      <c r="C70" s="16" t="s">
        <v>396</v>
      </c>
      <c r="D70" s="22" t="s">
        <v>1070</v>
      </c>
      <c r="E70" s="16">
        <v>1968.65</v>
      </c>
      <c r="F70" s="22" t="s">
        <v>1071</v>
      </c>
      <c r="G70" s="16">
        <v>1968.89</v>
      </c>
      <c r="H70" s="16" t="s">
        <v>1047</v>
      </c>
      <c r="I70" s="67">
        <v>0.24</v>
      </c>
      <c r="J70" s="22">
        <v>72</v>
      </c>
      <c r="K70" s="22"/>
      <c r="L70" s="22">
        <f t="shared" si="27"/>
        <v>0.3888</v>
      </c>
      <c r="M70" s="22">
        <f t="shared" si="29"/>
        <v>0.324</v>
      </c>
      <c r="N70" s="16" t="s">
        <v>1068</v>
      </c>
      <c r="O70" s="42"/>
    </row>
    <row r="71" s="6" customFormat="1" ht="32" customHeight="1" spans="1:15">
      <c r="A71" s="22">
        <v>9</v>
      </c>
      <c r="B71" s="16" t="s">
        <v>157</v>
      </c>
      <c r="C71" s="16" t="s">
        <v>396</v>
      </c>
      <c r="D71" s="22" t="s">
        <v>1070</v>
      </c>
      <c r="E71" s="16">
        <v>2008.35</v>
      </c>
      <c r="F71" s="22" t="s">
        <v>1071</v>
      </c>
      <c r="G71" s="16">
        <v>2008.59</v>
      </c>
      <c r="H71" s="16" t="s">
        <v>1047</v>
      </c>
      <c r="I71" s="68">
        <v>0.24</v>
      </c>
      <c r="J71" s="22">
        <v>72</v>
      </c>
      <c r="K71" s="22"/>
      <c r="L71" s="22">
        <f t="shared" si="27"/>
        <v>0.3888</v>
      </c>
      <c r="M71" s="22">
        <f t="shared" si="29"/>
        <v>0.324</v>
      </c>
      <c r="N71" s="16" t="s">
        <v>1068</v>
      </c>
      <c r="O71" s="42"/>
    </row>
    <row r="72" s="6" customFormat="1" ht="32" customHeight="1" spans="1:15">
      <c r="A72" s="22">
        <v>10</v>
      </c>
      <c r="B72" s="16" t="s">
        <v>157</v>
      </c>
      <c r="C72" s="22" t="s">
        <v>331</v>
      </c>
      <c r="D72" s="16" t="s">
        <v>670</v>
      </c>
      <c r="E72" s="16">
        <v>812</v>
      </c>
      <c r="F72" s="16" t="s">
        <v>1072</v>
      </c>
      <c r="G72" s="22">
        <v>812.3</v>
      </c>
      <c r="H72" s="16" t="s">
        <v>1047</v>
      </c>
      <c r="I72" s="45">
        <v>0.3</v>
      </c>
      <c r="J72" s="22">
        <v>90</v>
      </c>
      <c r="K72" s="22"/>
      <c r="L72" s="22">
        <f t="shared" si="27"/>
        <v>0.486</v>
      </c>
      <c r="M72" s="22">
        <f t="shared" si="29"/>
        <v>0.405</v>
      </c>
      <c r="N72" s="16" t="s">
        <v>1068</v>
      </c>
      <c r="O72" s="42"/>
    </row>
    <row r="73" s="6" customFormat="1" ht="32" customHeight="1" spans="1:15">
      <c r="A73" s="22">
        <v>11</v>
      </c>
      <c r="B73" s="16" t="s">
        <v>157</v>
      </c>
      <c r="C73" s="22" t="s">
        <v>331</v>
      </c>
      <c r="D73" s="16" t="s">
        <v>670</v>
      </c>
      <c r="E73" s="40">
        <v>798.1</v>
      </c>
      <c r="F73" s="16" t="s">
        <v>1072</v>
      </c>
      <c r="G73" s="22">
        <v>798.3</v>
      </c>
      <c r="H73" s="16" t="s">
        <v>1047</v>
      </c>
      <c r="I73" s="45">
        <v>0.2</v>
      </c>
      <c r="J73" s="22">
        <v>60</v>
      </c>
      <c r="K73" s="22"/>
      <c r="L73" s="22">
        <f t="shared" si="27"/>
        <v>0.324</v>
      </c>
      <c r="M73" s="22">
        <f t="shared" si="29"/>
        <v>0.27</v>
      </c>
      <c r="N73" s="16" t="s">
        <v>1068</v>
      </c>
      <c r="O73" s="42"/>
    </row>
    <row r="74" s="6" customFormat="1" ht="32" customHeight="1" spans="1:15">
      <c r="A74" s="22">
        <v>12</v>
      </c>
      <c r="B74" s="16" t="s">
        <v>157</v>
      </c>
      <c r="C74" s="22" t="s">
        <v>331</v>
      </c>
      <c r="D74" s="16" t="s">
        <v>670</v>
      </c>
      <c r="E74" s="52">
        <v>801.6</v>
      </c>
      <c r="F74" s="16" t="s">
        <v>1072</v>
      </c>
      <c r="G74" s="22">
        <v>802.6</v>
      </c>
      <c r="H74" s="16" t="s">
        <v>1047</v>
      </c>
      <c r="I74" s="68">
        <v>1</v>
      </c>
      <c r="J74" s="22">
        <v>300</v>
      </c>
      <c r="K74" s="22"/>
      <c r="L74" s="22">
        <f t="shared" si="27"/>
        <v>1.62</v>
      </c>
      <c r="M74" s="22">
        <f t="shared" si="29"/>
        <v>1.35</v>
      </c>
      <c r="N74" s="16" t="s">
        <v>1068</v>
      </c>
      <c r="O74" s="42"/>
    </row>
    <row r="75" s="6" customFormat="1" ht="32" customHeight="1" spans="1:15">
      <c r="A75" s="22">
        <v>13</v>
      </c>
      <c r="B75" s="16" t="s">
        <v>157</v>
      </c>
      <c r="C75" s="22" t="s">
        <v>331</v>
      </c>
      <c r="D75" s="16" t="s">
        <v>670</v>
      </c>
      <c r="E75" s="52">
        <v>803.4</v>
      </c>
      <c r="F75" s="16" t="s">
        <v>1072</v>
      </c>
      <c r="G75" s="22">
        <v>803.6</v>
      </c>
      <c r="H75" s="16" t="s">
        <v>1047</v>
      </c>
      <c r="I75" s="68">
        <v>0.2</v>
      </c>
      <c r="J75" s="22">
        <v>60</v>
      </c>
      <c r="K75" s="22"/>
      <c r="L75" s="22">
        <f t="shared" si="27"/>
        <v>0.324</v>
      </c>
      <c r="M75" s="22">
        <f t="shared" si="29"/>
        <v>0.27</v>
      </c>
      <c r="N75" s="16" t="s">
        <v>1068</v>
      </c>
      <c r="O75" s="42"/>
    </row>
    <row r="76" s="6" customFormat="1" ht="32" customHeight="1" spans="1:15">
      <c r="A76" s="22">
        <v>14</v>
      </c>
      <c r="B76" s="16" t="s">
        <v>157</v>
      </c>
      <c r="C76" s="22" t="s">
        <v>331</v>
      </c>
      <c r="D76" s="16" t="s">
        <v>670</v>
      </c>
      <c r="E76" s="16">
        <v>807.3</v>
      </c>
      <c r="F76" s="16" t="s">
        <v>1072</v>
      </c>
      <c r="G76" s="22">
        <v>807.54</v>
      </c>
      <c r="H76" s="16" t="s">
        <v>1047</v>
      </c>
      <c r="I76" s="68">
        <v>0.24</v>
      </c>
      <c r="J76" s="22">
        <v>72</v>
      </c>
      <c r="K76" s="22"/>
      <c r="L76" s="22">
        <f t="shared" si="27"/>
        <v>0.3888</v>
      </c>
      <c r="M76" s="22">
        <f t="shared" si="29"/>
        <v>0.324</v>
      </c>
      <c r="N76" s="16" t="s">
        <v>1068</v>
      </c>
      <c r="O76" s="42"/>
    </row>
    <row r="77" s="6" customFormat="1" ht="32" customHeight="1" spans="1:15">
      <c r="A77" s="22">
        <v>15</v>
      </c>
      <c r="B77" s="16" t="s">
        <v>157</v>
      </c>
      <c r="C77" s="22" t="s">
        <v>331</v>
      </c>
      <c r="D77" s="16" t="s">
        <v>670</v>
      </c>
      <c r="E77" s="16">
        <v>813.2</v>
      </c>
      <c r="F77" s="16" t="s">
        <v>1072</v>
      </c>
      <c r="G77" s="22">
        <v>813.44</v>
      </c>
      <c r="H77" s="16" t="s">
        <v>1047</v>
      </c>
      <c r="I77" s="68">
        <v>0.24</v>
      </c>
      <c r="J77" s="22">
        <v>72</v>
      </c>
      <c r="K77" s="22"/>
      <c r="L77" s="22">
        <f t="shared" si="27"/>
        <v>0.3888</v>
      </c>
      <c r="M77" s="22">
        <f t="shared" si="29"/>
        <v>0.324</v>
      </c>
      <c r="N77" s="16" t="s">
        <v>1068</v>
      </c>
      <c r="O77" s="42"/>
    </row>
    <row r="78" s="5" customFormat="1" ht="32" customHeight="1" spans="1:15">
      <c r="A78" s="22">
        <v>16</v>
      </c>
      <c r="B78" s="22" t="s">
        <v>157</v>
      </c>
      <c r="C78" s="16" t="s">
        <v>281</v>
      </c>
      <c r="D78" s="22" t="s">
        <v>1073</v>
      </c>
      <c r="E78" s="40">
        <v>4.95</v>
      </c>
      <c r="F78" s="22" t="s">
        <v>1074</v>
      </c>
      <c r="G78" s="55">
        <v>5.2</v>
      </c>
      <c r="H78" s="22" t="s">
        <v>1047</v>
      </c>
      <c r="I78" s="45">
        <v>0.25</v>
      </c>
      <c r="J78" s="41">
        <v>75</v>
      </c>
      <c r="K78" s="41"/>
      <c r="L78" s="22">
        <f t="shared" si="27"/>
        <v>0.405</v>
      </c>
      <c r="M78" s="22">
        <f t="shared" si="29"/>
        <v>0.3375</v>
      </c>
      <c r="N78" s="16" t="s">
        <v>1068</v>
      </c>
      <c r="O78" s="37"/>
    </row>
    <row r="79" s="5" customFormat="1" ht="32" customHeight="1" spans="1:15">
      <c r="A79" s="22">
        <v>17</v>
      </c>
      <c r="B79" s="22" t="s">
        <v>157</v>
      </c>
      <c r="C79" s="16" t="s">
        <v>281</v>
      </c>
      <c r="D79" s="22" t="s">
        <v>1073</v>
      </c>
      <c r="E79" s="56">
        <v>19</v>
      </c>
      <c r="F79" s="22" t="s">
        <v>1074</v>
      </c>
      <c r="G79" s="55">
        <v>19.4</v>
      </c>
      <c r="H79" s="22" t="s">
        <v>1047</v>
      </c>
      <c r="I79" s="45">
        <v>0.4</v>
      </c>
      <c r="J79" s="41">
        <v>120</v>
      </c>
      <c r="K79" s="41"/>
      <c r="L79" s="22">
        <f t="shared" si="27"/>
        <v>0.648</v>
      </c>
      <c r="M79" s="22">
        <f t="shared" si="29"/>
        <v>0.54</v>
      </c>
      <c r="N79" s="16" t="s">
        <v>1068</v>
      </c>
      <c r="O79" s="37"/>
    </row>
    <row r="80" s="5" customFormat="1" ht="32" customHeight="1" spans="1:15">
      <c r="A80" s="22">
        <v>18</v>
      </c>
      <c r="B80" s="22" t="s">
        <v>157</v>
      </c>
      <c r="C80" s="16" t="s">
        <v>281</v>
      </c>
      <c r="D80" s="22" t="s">
        <v>1073</v>
      </c>
      <c r="E80" s="45">
        <v>6.7</v>
      </c>
      <c r="F80" s="22" t="s">
        <v>1074</v>
      </c>
      <c r="G80" s="55">
        <v>7.3</v>
      </c>
      <c r="H80" s="22" t="s">
        <v>1047</v>
      </c>
      <c r="I80" s="68">
        <v>0.6</v>
      </c>
      <c r="J80" s="41">
        <v>180</v>
      </c>
      <c r="K80" s="41"/>
      <c r="L80" s="22">
        <f t="shared" si="27"/>
        <v>0.972</v>
      </c>
      <c r="M80" s="22">
        <f t="shared" si="29"/>
        <v>0.81</v>
      </c>
      <c r="N80" s="16" t="s">
        <v>1068</v>
      </c>
      <c r="O80" s="37"/>
    </row>
    <row r="81" s="5" customFormat="1" ht="32" customHeight="1" spans="1:15">
      <c r="A81" s="15" t="s">
        <v>355</v>
      </c>
      <c r="B81" s="15"/>
      <c r="C81" s="15"/>
      <c r="D81" s="15"/>
      <c r="E81" s="15"/>
      <c r="F81" s="15"/>
      <c r="G81" s="15"/>
      <c r="H81" s="35"/>
      <c r="I81" s="69">
        <f t="shared" ref="I81:M81" si="30">SUM(I82:I111)</f>
        <v>5.72999999999986</v>
      </c>
      <c r="J81" s="69">
        <f t="shared" si="30"/>
        <v>1658.99999999996</v>
      </c>
      <c r="K81" s="69">
        <f t="shared" si="30"/>
        <v>30</v>
      </c>
      <c r="L81" s="70">
        <f t="shared" si="30"/>
        <v>9.16</v>
      </c>
      <c r="M81" s="70">
        <f t="shared" si="30"/>
        <v>7.65</v>
      </c>
      <c r="N81" s="15"/>
      <c r="O81" s="37"/>
    </row>
    <row r="82" s="6" customFormat="1" ht="23" customHeight="1" spans="1:15">
      <c r="A82" s="22">
        <v>1</v>
      </c>
      <c r="B82" s="16" t="s">
        <v>355</v>
      </c>
      <c r="C82" s="16" t="s">
        <v>415</v>
      </c>
      <c r="D82" s="57" t="s">
        <v>1075</v>
      </c>
      <c r="E82" s="29">
        <v>597.37</v>
      </c>
      <c r="F82" s="57" t="s">
        <v>1075</v>
      </c>
      <c r="G82" s="58">
        <v>597.68</v>
      </c>
      <c r="H82" s="16" t="s">
        <v>1047</v>
      </c>
      <c r="I82" s="40">
        <f t="shared" ref="I82:I110" si="31">G82-E82</f>
        <v>0.309999999999945</v>
      </c>
      <c r="J82" s="40">
        <f t="shared" ref="J82:J110" si="32">I82*1000*0.3</f>
        <v>92.9999999999835</v>
      </c>
      <c r="K82" s="40"/>
      <c r="L82" s="19">
        <f t="shared" ref="L82:L111" si="33">M82*1.2</f>
        <v>0.5</v>
      </c>
      <c r="M82" s="19">
        <f t="shared" ref="M82:M110" si="34">J82*45/10000</f>
        <v>0.42</v>
      </c>
      <c r="N82" s="16" t="s">
        <v>1052</v>
      </c>
      <c r="O82" s="40"/>
    </row>
    <row r="83" s="6" customFormat="1" ht="23" customHeight="1" spans="1:15">
      <c r="A83" s="22">
        <v>2</v>
      </c>
      <c r="B83" s="16" t="s">
        <v>355</v>
      </c>
      <c r="C83" s="16" t="s">
        <v>415</v>
      </c>
      <c r="D83" s="57" t="s">
        <v>1075</v>
      </c>
      <c r="E83" s="29">
        <v>597.46</v>
      </c>
      <c r="F83" s="57" t="s">
        <v>1075</v>
      </c>
      <c r="G83" s="58">
        <v>597.82</v>
      </c>
      <c r="H83" s="16" t="s">
        <v>1047</v>
      </c>
      <c r="I83" s="40">
        <f t="shared" si="31"/>
        <v>0.360000000000014</v>
      </c>
      <c r="J83" s="40">
        <f t="shared" si="32"/>
        <v>108.000000000004</v>
      </c>
      <c r="K83" s="40"/>
      <c r="L83" s="19">
        <f t="shared" si="33"/>
        <v>0.59</v>
      </c>
      <c r="M83" s="19">
        <f t="shared" si="34"/>
        <v>0.49</v>
      </c>
      <c r="N83" s="16" t="s">
        <v>1052</v>
      </c>
      <c r="O83" s="40"/>
    </row>
    <row r="84" s="6" customFormat="1" ht="23" customHeight="1" spans="1:15">
      <c r="A84" s="22">
        <v>3</v>
      </c>
      <c r="B84" s="16" t="s">
        <v>355</v>
      </c>
      <c r="C84" s="16" t="s">
        <v>415</v>
      </c>
      <c r="D84" s="57" t="s">
        <v>1076</v>
      </c>
      <c r="E84" s="29">
        <v>610.2</v>
      </c>
      <c r="F84" s="57" t="s">
        <v>1076</v>
      </c>
      <c r="G84" s="58">
        <v>610.25</v>
      </c>
      <c r="H84" s="16" t="s">
        <v>1047</v>
      </c>
      <c r="I84" s="40">
        <f t="shared" si="31"/>
        <v>0.0499999999999545</v>
      </c>
      <c r="J84" s="40">
        <f t="shared" si="32"/>
        <v>14.9999999999864</v>
      </c>
      <c r="K84" s="40"/>
      <c r="L84" s="19">
        <f t="shared" si="33"/>
        <v>0.08</v>
      </c>
      <c r="M84" s="19">
        <f t="shared" si="34"/>
        <v>0.07</v>
      </c>
      <c r="N84" s="16" t="s">
        <v>1052</v>
      </c>
      <c r="O84" s="40"/>
    </row>
    <row r="85" s="6" customFormat="1" ht="23" customHeight="1" spans="1:15">
      <c r="A85" s="22">
        <v>4</v>
      </c>
      <c r="B85" s="16" t="s">
        <v>355</v>
      </c>
      <c r="C85" s="16" t="s">
        <v>415</v>
      </c>
      <c r="D85" s="57" t="s">
        <v>1076</v>
      </c>
      <c r="E85" s="29">
        <v>610.28</v>
      </c>
      <c r="F85" s="57" t="s">
        <v>1076</v>
      </c>
      <c r="G85" s="58">
        <v>610.33</v>
      </c>
      <c r="H85" s="16" t="s">
        <v>1047</v>
      </c>
      <c r="I85" s="40">
        <f t="shared" si="31"/>
        <v>0.0500000000000682</v>
      </c>
      <c r="J85" s="40">
        <f t="shared" si="32"/>
        <v>15.0000000000205</v>
      </c>
      <c r="K85" s="40"/>
      <c r="L85" s="19">
        <f t="shared" si="33"/>
        <v>0.08</v>
      </c>
      <c r="M85" s="19">
        <f t="shared" si="34"/>
        <v>0.07</v>
      </c>
      <c r="N85" s="16" t="s">
        <v>1052</v>
      </c>
      <c r="O85" s="40"/>
    </row>
    <row r="86" s="6" customFormat="1" ht="23" customHeight="1" spans="1:15">
      <c r="A86" s="22">
        <v>5</v>
      </c>
      <c r="B86" s="16" t="s">
        <v>355</v>
      </c>
      <c r="C86" s="16" t="s">
        <v>415</v>
      </c>
      <c r="D86" s="57" t="s">
        <v>1077</v>
      </c>
      <c r="E86" s="29">
        <v>614.955</v>
      </c>
      <c r="F86" s="57" t="s">
        <v>1077</v>
      </c>
      <c r="G86" s="58">
        <v>615.005</v>
      </c>
      <c r="H86" s="16" t="s">
        <v>1047</v>
      </c>
      <c r="I86" s="40">
        <f t="shared" si="31"/>
        <v>0.0499999999999545</v>
      </c>
      <c r="J86" s="40">
        <f t="shared" si="32"/>
        <v>14.9999999999864</v>
      </c>
      <c r="K86" s="40"/>
      <c r="L86" s="19">
        <f t="shared" si="33"/>
        <v>0.08</v>
      </c>
      <c r="M86" s="19">
        <f t="shared" si="34"/>
        <v>0.07</v>
      </c>
      <c r="N86" s="16" t="s">
        <v>1052</v>
      </c>
      <c r="O86" s="40"/>
    </row>
    <row r="87" s="6" customFormat="1" ht="23" customHeight="1" spans="1:15">
      <c r="A87" s="22">
        <v>6</v>
      </c>
      <c r="B87" s="16" t="s">
        <v>355</v>
      </c>
      <c r="C87" s="16" t="s">
        <v>415</v>
      </c>
      <c r="D87" s="57" t="s">
        <v>1077</v>
      </c>
      <c r="E87" s="29">
        <v>615.035</v>
      </c>
      <c r="F87" s="57" t="s">
        <v>1077</v>
      </c>
      <c r="G87" s="58">
        <v>615.085</v>
      </c>
      <c r="H87" s="16" t="s">
        <v>1047</v>
      </c>
      <c r="I87" s="40">
        <f t="shared" si="31"/>
        <v>0.0500000000000682</v>
      </c>
      <c r="J87" s="40">
        <f t="shared" si="32"/>
        <v>15.0000000000205</v>
      </c>
      <c r="K87" s="40"/>
      <c r="L87" s="19">
        <f t="shared" si="33"/>
        <v>0.08</v>
      </c>
      <c r="M87" s="19">
        <f t="shared" si="34"/>
        <v>0.07</v>
      </c>
      <c r="N87" s="16" t="s">
        <v>1052</v>
      </c>
      <c r="O87" s="40"/>
    </row>
    <row r="88" s="6" customFormat="1" ht="23" customHeight="1" spans="1:15">
      <c r="A88" s="22">
        <v>7</v>
      </c>
      <c r="B88" s="16" t="s">
        <v>355</v>
      </c>
      <c r="C88" s="16" t="s">
        <v>415</v>
      </c>
      <c r="D88" s="57" t="s">
        <v>1077</v>
      </c>
      <c r="E88" s="29">
        <v>615.665</v>
      </c>
      <c r="F88" s="57" t="s">
        <v>1077</v>
      </c>
      <c r="G88" s="58">
        <v>615.715</v>
      </c>
      <c r="H88" s="16" t="s">
        <v>1047</v>
      </c>
      <c r="I88" s="40">
        <f t="shared" si="31"/>
        <v>0.0500000000000682</v>
      </c>
      <c r="J88" s="40">
        <f t="shared" si="32"/>
        <v>15.0000000000205</v>
      </c>
      <c r="K88" s="40"/>
      <c r="L88" s="19">
        <f t="shared" si="33"/>
        <v>0.08</v>
      </c>
      <c r="M88" s="19">
        <f t="shared" si="34"/>
        <v>0.07</v>
      </c>
      <c r="N88" s="16" t="s">
        <v>1052</v>
      </c>
      <c r="O88" s="40"/>
    </row>
    <row r="89" s="6" customFormat="1" ht="23" customHeight="1" spans="1:15">
      <c r="A89" s="22">
        <v>8</v>
      </c>
      <c r="B89" s="16" t="s">
        <v>355</v>
      </c>
      <c r="C89" s="16" t="s">
        <v>415</v>
      </c>
      <c r="D89" s="57" t="s">
        <v>1077</v>
      </c>
      <c r="E89" s="29">
        <v>615.965</v>
      </c>
      <c r="F89" s="57" t="s">
        <v>1077</v>
      </c>
      <c r="G89" s="58">
        <v>616.135</v>
      </c>
      <c r="H89" s="16" t="s">
        <v>1047</v>
      </c>
      <c r="I89" s="40">
        <f t="shared" si="31"/>
        <v>0.169999999999959</v>
      </c>
      <c r="J89" s="40">
        <f t="shared" si="32"/>
        <v>50.9999999999877</v>
      </c>
      <c r="K89" s="40"/>
      <c r="L89" s="19">
        <f t="shared" si="33"/>
        <v>0.28</v>
      </c>
      <c r="M89" s="19">
        <f t="shared" si="34"/>
        <v>0.23</v>
      </c>
      <c r="N89" s="16" t="s">
        <v>1052</v>
      </c>
      <c r="O89" s="40"/>
    </row>
    <row r="90" s="6" customFormat="1" ht="23" customHeight="1" spans="1:15">
      <c r="A90" s="22">
        <v>9</v>
      </c>
      <c r="B90" s="16" t="s">
        <v>355</v>
      </c>
      <c r="C90" s="16" t="s">
        <v>415</v>
      </c>
      <c r="D90" s="57" t="s">
        <v>1077</v>
      </c>
      <c r="E90" s="29">
        <v>616.035</v>
      </c>
      <c r="F90" s="57" t="s">
        <v>1077</v>
      </c>
      <c r="G90" s="58">
        <v>616.17</v>
      </c>
      <c r="H90" s="16" t="s">
        <v>1047</v>
      </c>
      <c r="I90" s="40">
        <f t="shared" si="31"/>
        <v>0.134999999999991</v>
      </c>
      <c r="J90" s="40">
        <f t="shared" si="32"/>
        <v>40.4999999999973</v>
      </c>
      <c r="K90" s="40"/>
      <c r="L90" s="19">
        <f t="shared" si="33"/>
        <v>0.22</v>
      </c>
      <c r="M90" s="19">
        <f t="shared" si="34"/>
        <v>0.18</v>
      </c>
      <c r="N90" s="16" t="s">
        <v>1052</v>
      </c>
      <c r="O90" s="40"/>
    </row>
    <row r="91" s="6" customFormat="1" ht="23" customHeight="1" spans="1:15">
      <c r="A91" s="22">
        <v>10</v>
      </c>
      <c r="B91" s="16" t="s">
        <v>355</v>
      </c>
      <c r="C91" s="16" t="s">
        <v>415</v>
      </c>
      <c r="D91" s="57" t="s">
        <v>1077</v>
      </c>
      <c r="E91" s="29">
        <v>616.415</v>
      </c>
      <c r="F91" s="57" t="s">
        <v>1077</v>
      </c>
      <c r="G91" s="58">
        <v>616.575</v>
      </c>
      <c r="H91" s="16" t="s">
        <v>1047</v>
      </c>
      <c r="I91" s="40">
        <f t="shared" si="31"/>
        <v>0.160000000000082</v>
      </c>
      <c r="J91" s="40">
        <f t="shared" si="32"/>
        <v>48.0000000000246</v>
      </c>
      <c r="K91" s="40"/>
      <c r="L91" s="19">
        <f t="shared" si="33"/>
        <v>0.26</v>
      </c>
      <c r="M91" s="19">
        <f t="shared" si="34"/>
        <v>0.22</v>
      </c>
      <c r="N91" s="16" t="s">
        <v>1052</v>
      </c>
      <c r="O91" s="40"/>
    </row>
    <row r="92" s="6" customFormat="1" ht="23" customHeight="1" spans="1:15">
      <c r="A92" s="22">
        <v>11</v>
      </c>
      <c r="B92" s="16" t="s">
        <v>355</v>
      </c>
      <c r="C92" s="16" t="s">
        <v>415</v>
      </c>
      <c r="D92" s="57" t="s">
        <v>1077</v>
      </c>
      <c r="E92" s="29">
        <v>616.49</v>
      </c>
      <c r="F92" s="57" t="s">
        <v>1077</v>
      </c>
      <c r="G92" s="58">
        <v>616.635</v>
      </c>
      <c r="H92" s="16" t="s">
        <v>1047</v>
      </c>
      <c r="I92" s="40">
        <f t="shared" si="31"/>
        <v>0.144999999999982</v>
      </c>
      <c r="J92" s="40">
        <f t="shared" si="32"/>
        <v>43.4999999999946</v>
      </c>
      <c r="K92" s="40"/>
      <c r="L92" s="19">
        <f t="shared" si="33"/>
        <v>0.24</v>
      </c>
      <c r="M92" s="19">
        <f t="shared" si="34"/>
        <v>0.2</v>
      </c>
      <c r="N92" s="16" t="s">
        <v>1052</v>
      </c>
      <c r="O92" s="40"/>
    </row>
    <row r="93" s="6" customFormat="1" ht="23" customHeight="1" spans="1:15">
      <c r="A93" s="22">
        <v>12</v>
      </c>
      <c r="B93" s="16" t="s">
        <v>355</v>
      </c>
      <c r="C93" s="16" t="s">
        <v>415</v>
      </c>
      <c r="D93" s="57" t="s">
        <v>1077</v>
      </c>
      <c r="E93" s="29">
        <v>616.785</v>
      </c>
      <c r="F93" s="57" t="s">
        <v>1077</v>
      </c>
      <c r="G93" s="58">
        <v>616.93</v>
      </c>
      <c r="H93" s="16" t="s">
        <v>1047</v>
      </c>
      <c r="I93" s="40">
        <f t="shared" si="31"/>
        <v>0.144999999999982</v>
      </c>
      <c r="J93" s="40">
        <f t="shared" si="32"/>
        <v>43.4999999999946</v>
      </c>
      <c r="K93" s="40"/>
      <c r="L93" s="19">
        <f t="shared" si="33"/>
        <v>0.24</v>
      </c>
      <c r="M93" s="19">
        <f t="shared" si="34"/>
        <v>0.2</v>
      </c>
      <c r="N93" s="16" t="s">
        <v>1052</v>
      </c>
      <c r="O93" s="40"/>
    </row>
    <row r="94" s="6" customFormat="1" ht="23" customHeight="1" spans="1:15">
      <c r="A94" s="22">
        <v>13</v>
      </c>
      <c r="B94" s="16" t="s">
        <v>355</v>
      </c>
      <c r="C94" s="16" t="s">
        <v>415</v>
      </c>
      <c r="D94" s="57" t="s">
        <v>1077</v>
      </c>
      <c r="E94" s="29">
        <v>616.825</v>
      </c>
      <c r="F94" s="57" t="s">
        <v>1077</v>
      </c>
      <c r="G94" s="58">
        <v>616.97</v>
      </c>
      <c r="H94" s="16" t="s">
        <v>1047</v>
      </c>
      <c r="I94" s="40">
        <f t="shared" si="31"/>
        <v>0.144999999999982</v>
      </c>
      <c r="J94" s="40">
        <f t="shared" si="32"/>
        <v>43.4999999999946</v>
      </c>
      <c r="K94" s="40"/>
      <c r="L94" s="19">
        <f t="shared" si="33"/>
        <v>0.24</v>
      </c>
      <c r="M94" s="19">
        <f t="shared" si="34"/>
        <v>0.2</v>
      </c>
      <c r="N94" s="16" t="s">
        <v>1052</v>
      </c>
      <c r="O94" s="40"/>
    </row>
    <row r="95" s="6" customFormat="1" ht="23" customHeight="1" spans="1:15">
      <c r="A95" s="22">
        <v>14</v>
      </c>
      <c r="B95" s="16" t="s">
        <v>355</v>
      </c>
      <c r="C95" s="16" t="s">
        <v>415</v>
      </c>
      <c r="D95" s="57" t="s">
        <v>1077</v>
      </c>
      <c r="E95" s="29">
        <v>617.365</v>
      </c>
      <c r="F95" s="57" t="s">
        <v>1077</v>
      </c>
      <c r="G95" s="58">
        <v>617.66</v>
      </c>
      <c r="H95" s="16" t="s">
        <v>1047</v>
      </c>
      <c r="I95" s="40">
        <f t="shared" si="31"/>
        <v>0.294999999999959</v>
      </c>
      <c r="J95" s="40">
        <f t="shared" si="32"/>
        <v>88.4999999999877</v>
      </c>
      <c r="K95" s="40"/>
      <c r="L95" s="19">
        <f t="shared" si="33"/>
        <v>0.48</v>
      </c>
      <c r="M95" s="19">
        <f t="shared" si="34"/>
        <v>0.4</v>
      </c>
      <c r="N95" s="16" t="s">
        <v>1052</v>
      </c>
      <c r="O95" s="40"/>
    </row>
    <row r="96" s="6" customFormat="1" ht="23" customHeight="1" spans="1:15">
      <c r="A96" s="22">
        <v>15</v>
      </c>
      <c r="B96" s="16" t="s">
        <v>355</v>
      </c>
      <c r="C96" s="16" t="s">
        <v>415</v>
      </c>
      <c r="D96" s="57" t="s">
        <v>1078</v>
      </c>
      <c r="E96" s="29">
        <v>619.11</v>
      </c>
      <c r="F96" s="57" t="s">
        <v>1078</v>
      </c>
      <c r="G96" s="58">
        <v>619.4</v>
      </c>
      <c r="H96" s="16" t="s">
        <v>1047</v>
      </c>
      <c r="I96" s="40">
        <f t="shared" si="31"/>
        <v>0.289999999999964</v>
      </c>
      <c r="J96" s="40">
        <f t="shared" si="32"/>
        <v>86.9999999999892</v>
      </c>
      <c r="K96" s="40"/>
      <c r="L96" s="19">
        <f t="shared" si="33"/>
        <v>0.47</v>
      </c>
      <c r="M96" s="19">
        <f t="shared" si="34"/>
        <v>0.39</v>
      </c>
      <c r="N96" s="16" t="s">
        <v>1052</v>
      </c>
      <c r="O96" s="40"/>
    </row>
    <row r="97" s="6" customFormat="1" ht="23" customHeight="1" spans="1:15">
      <c r="A97" s="22">
        <v>16</v>
      </c>
      <c r="B97" s="16" t="s">
        <v>355</v>
      </c>
      <c r="C97" s="16" t="s">
        <v>415</v>
      </c>
      <c r="D97" s="57" t="s">
        <v>1078</v>
      </c>
      <c r="E97" s="29">
        <v>619.11</v>
      </c>
      <c r="F97" s="57" t="s">
        <v>1078</v>
      </c>
      <c r="G97" s="58">
        <v>619.46</v>
      </c>
      <c r="H97" s="16" t="s">
        <v>1047</v>
      </c>
      <c r="I97" s="40">
        <f t="shared" si="31"/>
        <v>0.350000000000023</v>
      </c>
      <c r="J97" s="40">
        <f t="shared" si="32"/>
        <v>105.000000000007</v>
      </c>
      <c r="K97" s="40"/>
      <c r="L97" s="19">
        <f t="shared" si="33"/>
        <v>0.56</v>
      </c>
      <c r="M97" s="19">
        <f t="shared" si="34"/>
        <v>0.47</v>
      </c>
      <c r="N97" s="16" t="s">
        <v>1052</v>
      </c>
      <c r="O97" s="40"/>
    </row>
    <row r="98" s="6" customFormat="1" ht="23" customHeight="1" spans="1:15">
      <c r="A98" s="22">
        <v>17</v>
      </c>
      <c r="B98" s="16" t="s">
        <v>355</v>
      </c>
      <c r="C98" s="16" t="s">
        <v>415</v>
      </c>
      <c r="D98" s="57" t="s">
        <v>1078</v>
      </c>
      <c r="E98" s="29">
        <v>619.66</v>
      </c>
      <c r="F98" s="57" t="s">
        <v>1078</v>
      </c>
      <c r="G98" s="58">
        <v>619.91</v>
      </c>
      <c r="H98" s="16" t="s">
        <v>1047</v>
      </c>
      <c r="I98" s="40">
        <f t="shared" si="31"/>
        <v>0.25</v>
      </c>
      <c r="J98" s="40">
        <f t="shared" si="32"/>
        <v>75</v>
      </c>
      <c r="K98" s="40"/>
      <c r="L98" s="19">
        <f t="shared" si="33"/>
        <v>0.41</v>
      </c>
      <c r="M98" s="19">
        <f t="shared" si="34"/>
        <v>0.34</v>
      </c>
      <c r="N98" s="16" t="s">
        <v>1052</v>
      </c>
      <c r="O98" s="40"/>
    </row>
    <row r="99" s="6" customFormat="1" ht="23" customHeight="1" spans="1:15">
      <c r="A99" s="22">
        <v>18</v>
      </c>
      <c r="B99" s="16" t="s">
        <v>355</v>
      </c>
      <c r="C99" s="16" t="s">
        <v>415</v>
      </c>
      <c r="D99" s="57" t="s">
        <v>1078</v>
      </c>
      <c r="E99" s="29">
        <v>619.62</v>
      </c>
      <c r="F99" s="57" t="s">
        <v>1078</v>
      </c>
      <c r="G99" s="58">
        <v>620</v>
      </c>
      <c r="H99" s="16" t="s">
        <v>1047</v>
      </c>
      <c r="I99" s="40">
        <f t="shared" si="31"/>
        <v>0.379999999999995</v>
      </c>
      <c r="J99" s="40">
        <f t="shared" si="32"/>
        <v>113.999999999999</v>
      </c>
      <c r="K99" s="40"/>
      <c r="L99" s="19">
        <f t="shared" si="33"/>
        <v>0.61</v>
      </c>
      <c r="M99" s="19">
        <f t="shared" si="34"/>
        <v>0.51</v>
      </c>
      <c r="N99" s="16" t="s">
        <v>1052</v>
      </c>
      <c r="O99" s="40"/>
    </row>
    <row r="100" s="6" customFormat="1" ht="23" customHeight="1" spans="1:15">
      <c r="A100" s="22">
        <v>19</v>
      </c>
      <c r="B100" s="16" t="s">
        <v>355</v>
      </c>
      <c r="C100" s="16" t="s">
        <v>415</v>
      </c>
      <c r="D100" s="57" t="s">
        <v>1078</v>
      </c>
      <c r="E100" s="29">
        <v>620.34</v>
      </c>
      <c r="F100" s="57" t="s">
        <v>1078</v>
      </c>
      <c r="G100" s="58">
        <v>620.54</v>
      </c>
      <c r="H100" s="16" t="s">
        <v>1047</v>
      </c>
      <c r="I100" s="40">
        <f t="shared" si="31"/>
        <v>0.199999999999932</v>
      </c>
      <c r="J100" s="40">
        <f t="shared" si="32"/>
        <v>59.9999999999796</v>
      </c>
      <c r="K100" s="40"/>
      <c r="L100" s="19">
        <f t="shared" si="33"/>
        <v>0.32</v>
      </c>
      <c r="M100" s="19">
        <f t="shared" si="34"/>
        <v>0.27</v>
      </c>
      <c r="N100" s="16" t="s">
        <v>1052</v>
      </c>
      <c r="O100" s="40"/>
    </row>
    <row r="101" s="6" customFormat="1" ht="23" customHeight="1" spans="1:15">
      <c r="A101" s="22">
        <v>20</v>
      </c>
      <c r="B101" s="16" t="s">
        <v>355</v>
      </c>
      <c r="C101" s="16" t="s">
        <v>415</v>
      </c>
      <c r="D101" s="57" t="s">
        <v>1078</v>
      </c>
      <c r="E101" s="29">
        <v>620.34</v>
      </c>
      <c r="F101" s="57" t="s">
        <v>1078</v>
      </c>
      <c r="G101" s="58">
        <v>620.96</v>
      </c>
      <c r="H101" s="16" t="s">
        <v>1047</v>
      </c>
      <c r="I101" s="40">
        <f t="shared" si="31"/>
        <v>0.620000000000005</v>
      </c>
      <c r="J101" s="40">
        <f t="shared" si="32"/>
        <v>186.000000000002</v>
      </c>
      <c r="K101" s="40"/>
      <c r="L101" s="19">
        <f t="shared" si="33"/>
        <v>1.01</v>
      </c>
      <c r="M101" s="19">
        <f t="shared" si="34"/>
        <v>0.84</v>
      </c>
      <c r="N101" s="16" t="s">
        <v>1052</v>
      </c>
      <c r="O101" s="40"/>
    </row>
    <row r="102" s="6" customFormat="1" ht="23" customHeight="1" spans="1:15">
      <c r="A102" s="22">
        <v>21</v>
      </c>
      <c r="B102" s="16" t="s">
        <v>355</v>
      </c>
      <c r="C102" s="16" t="s">
        <v>415</v>
      </c>
      <c r="D102" s="57" t="s">
        <v>1078</v>
      </c>
      <c r="E102" s="29">
        <v>620.66</v>
      </c>
      <c r="F102" s="57" t="s">
        <v>1078</v>
      </c>
      <c r="G102" s="58">
        <v>620.9</v>
      </c>
      <c r="H102" s="16" t="s">
        <v>1047</v>
      </c>
      <c r="I102" s="40">
        <f t="shared" si="31"/>
        <v>0.240000000000009</v>
      </c>
      <c r="J102" s="40">
        <f t="shared" si="32"/>
        <v>72.0000000000027</v>
      </c>
      <c r="K102" s="40"/>
      <c r="L102" s="19">
        <f t="shared" si="33"/>
        <v>0.38</v>
      </c>
      <c r="M102" s="19">
        <f t="shared" si="34"/>
        <v>0.32</v>
      </c>
      <c r="N102" s="16" t="s">
        <v>1052</v>
      </c>
      <c r="O102" s="40"/>
    </row>
    <row r="103" s="6" customFormat="1" ht="23" customHeight="1" spans="1:15">
      <c r="A103" s="22">
        <v>22</v>
      </c>
      <c r="B103" s="16" t="s">
        <v>355</v>
      </c>
      <c r="C103" s="16" t="s">
        <v>857</v>
      </c>
      <c r="D103" s="57" t="s">
        <v>1079</v>
      </c>
      <c r="E103" s="29">
        <v>585.305</v>
      </c>
      <c r="F103" s="40" t="s">
        <v>1079</v>
      </c>
      <c r="G103" s="58">
        <v>585.405</v>
      </c>
      <c r="H103" s="16" t="s">
        <v>1047</v>
      </c>
      <c r="I103" s="40">
        <f t="shared" si="31"/>
        <v>0.100000000000023</v>
      </c>
      <c r="J103" s="40">
        <f t="shared" si="32"/>
        <v>30.0000000000069</v>
      </c>
      <c r="K103" s="40"/>
      <c r="L103" s="19">
        <f t="shared" si="33"/>
        <v>0.17</v>
      </c>
      <c r="M103" s="19">
        <f t="shared" si="34"/>
        <v>0.14</v>
      </c>
      <c r="N103" s="16" t="s">
        <v>1052</v>
      </c>
      <c r="O103" s="40"/>
    </row>
    <row r="104" s="6" customFormat="1" ht="23" customHeight="1" spans="1:15">
      <c r="A104" s="22">
        <v>23</v>
      </c>
      <c r="B104" s="16" t="s">
        <v>355</v>
      </c>
      <c r="C104" s="16" t="s">
        <v>857</v>
      </c>
      <c r="D104" s="57" t="s">
        <v>1079</v>
      </c>
      <c r="E104" s="29">
        <v>588.315</v>
      </c>
      <c r="F104" s="40" t="s">
        <v>1079</v>
      </c>
      <c r="G104" s="58">
        <v>588.415</v>
      </c>
      <c r="H104" s="16" t="s">
        <v>1047</v>
      </c>
      <c r="I104" s="40">
        <f t="shared" si="31"/>
        <v>0.0999999999999091</v>
      </c>
      <c r="J104" s="40">
        <f t="shared" si="32"/>
        <v>29.9999999999727</v>
      </c>
      <c r="K104" s="40"/>
      <c r="L104" s="19">
        <f t="shared" si="33"/>
        <v>0.16</v>
      </c>
      <c r="M104" s="19">
        <f t="shared" si="34"/>
        <v>0.13</v>
      </c>
      <c r="N104" s="16" t="s">
        <v>1052</v>
      </c>
      <c r="O104" s="40"/>
    </row>
    <row r="105" s="6" customFormat="1" ht="23" customHeight="1" spans="1:15">
      <c r="A105" s="22">
        <v>24</v>
      </c>
      <c r="B105" s="16" t="s">
        <v>355</v>
      </c>
      <c r="C105" s="16" t="s">
        <v>857</v>
      </c>
      <c r="D105" s="57" t="s">
        <v>1079</v>
      </c>
      <c r="E105" s="29">
        <v>588.46</v>
      </c>
      <c r="F105" s="40" t="s">
        <v>1079</v>
      </c>
      <c r="G105" s="58">
        <v>588.595</v>
      </c>
      <c r="H105" s="16" t="s">
        <v>1047</v>
      </c>
      <c r="I105" s="40">
        <f t="shared" si="31"/>
        <v>0.134999999999991</v>
      </c>
      <c r="J105" s="40">
        <f t="shared" si="32"/>
        <v>40.4999999999973</v>
      </c>
      <c r="K105" s="40"/>
      <c r="L105" s="19">
        <f t="shared" si="33"/>
        <v>0.22</v>
      </c>
      <c r="M105" s="19">
        <f t="shared" si="34"/>
        <v>0.18</v>
      </c>
      <c r="N105" s="16" t="s">
        <v>1052</v>
      </c>
      <c r="O105" s="40"/>
    </row>
    <row r="106" s="6" customFormat="1" ht="23" customHeight="1" spans="1:15">
      <c r="A106" s="22">
        <v>25</v>
      </c>
      <c r="B106" s="16" t="s">
        <v>355</v>
      </c>
      <c r="C106" s="16" t="s">
        <v>857</v>
      </c>
      <c r="D106" s="57" t="s">
        <v>1079</v>
      </c>
      <c r="E106" s="29">
        <v>588.69</v>
      </c>
      <c r="F106" s="40" t="s">
        <v>1079</v>
      </c>
      <c r="G106" s="58">
        <v>588.82</v>
      </c>
      <c r="H106" s="16" t="s">
        <v>1047</v>
      </c>
      <c r="I106" s="40">
        <f t="shared" si="31"/>
        <v>0.129999999999995</v>
      </c>
      <c r="J106" s="40">
        <f t="shared" si="32"/>
        <v>38.9999999999985</v>
      </c>
      <c r="K106" s="40"/>
      <c r="L106" s="19">
        <f t="shared" si="33"/>
        <v>0.22</v>
      </c>
      <c r="M106" s="19">
        <f t="shared" si="34"/>
        <v>0.18</v>
      </c>
      <c r="N106" s="16" t="s">
        <v>1052</v>
      </c>
      <c r="O106" s="40"/>
    </row>
    <row r="107" s="6" customFormat="1" ht="23" customHeight="1" spans="1:15">
      <c r="A107" s="22">
        <v>26</v>
      </c>
      <c r="B107" s="16" t="s">
        <v>355</v>
      </c>
      <c r="C107" s="16" t="s">
        <v>857</v>
      </c>
      <c r="D107" s="57" t="s">
        <v>1079</v>
      </c>
      <c r="E107" s="29">
        <v>589.06</v>
      </c>
      <c r="F107" s="40" t="s">
        <v>1079</v>
      </c>
      <c r="G107" s="58">
        <v>589.22</v>
      </c>
      <c r="H107" s="16" t="s">
        <v>1047</v>
      </c>
      <c r="I107" s="40">
        <f t="shared" si="31"/>
        <v>0.160000000000082</v>
      </c>
      <c r="J107" s="40">
        <f t="shared" si="32"/>
        <v>48.0000000000246</v>
      </c>
      <c r="K107" s="40"/>
      <c r="L107" s="19">
        <f t="shared" si="33"/>
        <v>0.26</v>
      </c>
      <c r="M107" s="19">
        <f t="shared" si="34"/>
        <v>0.22</v>
      </c>
      <c r="N107" s="16" t="s">
        <v>1052</v>
      </c>
      <c r="O107" s="40"/>
    </row>
    <row r="108" s="6" customFormat="1" ht="23" customHeight="1" spans="1:15">
      <c r="A108" s="22">
        <v>27</v>
      </c>
      <c r="B108" s="16" t="s">
        <v>355</v>
      </c>
      <c r="C108" s="16" t="s">
        <v>857</v>
      </c>
      <c r="D108" s="57" t="s">
        <v>1079</v>
      </c>
      <c r="E108" s="29">
        <v>589.11</v>
      </c>
      <c r="F108" s="40" t="s">
        <v>1079</v>
      </c>
      <c r="G108" s="58">
        <v>589.27</v>
      </c>
      <c r="H108" s="16" t="s">
        <v>1047</v>
      </c>
      <c r="I108" s="40">
        <f t="shared" si="31"/>
        <v>0.159999999999968</v>
      </c>
      <c r="J108" s="40">
        <f t="shared" si="32"/>
        <v>47.9999999999904</v>
      </c>
      <c r="K108" s="40"/>
      <c r="L108" s="19">
        <f t="shared" si="33"/>
        <v>0.26</v>
      </c>
      <c r="M108" s="19">
        <f t="shared" si="34"/>
        <v>0.22</v>
      </c>
      <c r="N108" s="16" t="s">
        <v>1052</v>
      </c>
      <c r="O108" s="40"/>
    </row>
    <row r="109" s="6" customFormat="1" ht="23" customHeight="1" spans="1:15">
      <c r="A109" s="22">
        <v>28</v>
      </c>
      <c r="B109" s="16" t="s">
        <v>355</v>
      </c>
      <c r="C109" s="16" t="s">
        <v>857</v>
      </c>
      <c r="D109" s="57" t="s">
        <v>1079</v>
      </c>
      <c r="E109" s="29">
        <v>589.485</v>
      </c>
      <c r="F109" s="40" t="s">
        <v>1079</v>
      </c>
      <c r="G109" s="58">
        <v>589.64</v>
      </c>
      <c r="H109" s="16" t="s">
        <v>1047</v>
      </c>
      <c r="I109" s="40">
        <f t="shared" si="31"/>
        <v>0.154999999999973</v>
      </c>
      <c r="J109" s="40">
        <f t="shared" si="32"/>
        <v>46.4999999999919</v>
      </c>
      <c r="K109" s="40"/>
      <c r="L109" s="19">
        <f t="shared" si="33"/>
        <v>0.25</v>
      </c>
      <c r="M109" s="19">
        <f t="shared" si="34"/>
        <v>0.21</v>
      </c>
      <c r="N109" s="16" t="s">
        <v>1052</v>
      </c>
      <c r="O109" s="40"/>
    </row>
    <row r="110" s="6" customFormat="1" ht="23" customHeight="1" spans="1:15">
      <c r="A110" s="22">
        <v>29</v>
      </c>
      <c r="B110" s="16" t="s">
        <v>355</v>
      </c>
      <c r="C110" s="16" t="s">
        <v>857</v>
      </c>
      <c r="D110" s="57" t="s">
        <v>1079</v>
      </c>
      <c r="E110" s="29">
        <v>592.575</v>
      </c>
      <c r="F110" s="40" t="s">
        <v>1079</v>
      </c>
      <c r="G110" s="58">
        <v>592.72</v>
      </c>
      <c r="H110" s="16" t="s">
        <v>1047</v>
      </c>
      <c r="I110" s="40">
        <f t="shared" si="31"/>
        <v>0.144999999999982</v>
      </c>
      <c r="J110" s="40">
        <f t="shared" si="32"/>
        <v>43.4999999999946</v>
      </c>
      <c r="K110" s="40"/>
      <c r="L110" s="19">
        <f t="shared" si="33"/>
        <v>0.24</v>
      </c>
      <c r="M110" s="19">
        <f t="shared" si="34"/>
        <v>0.2</v>
      </c>
      <c r="N110" s="16" t="s">
        <v>1052</v>
      </c>
      <c r="O110" s="40"/>
    </row>
    <row r="111" s="6" customFormat="1" ht="23" customHeight="1" spans="1:15">
      <c r="A111" s="23">
        <v>30</v>
      </c>
      <c r="B111" s="20" t="s">
        <v>355</v>
      </c>
      <c r="C111" s="20" t="s">
        <v>533</v>
      </c>
      <c r="D111" s="59" t="s">
        <v>1080</v>
      </c>
      <c r="E111" s="60">
        <v>45.5</v>
      </c>
      <c r="F111" s="61" t="s">
        <v>1080</v>
      </c>
      <c r="G111" s="62">
        <v>46</v>
      </c>
      <c r="H111" s="16" t="s">
        <v>1047</v>
      </c>
      <c r="I111" s="40">
        <v>0.2</v>
      </c>
      <c r="J111" s="40"/>
      <c r="K111" s="40">
        <v>30</v>
      </c>
      <c r="L111" s="19">
        <f t="shared" si="33"/>
        <v>0.17</v>
      </c>
      <c r="M111" s="19">
        <f>K111*45/10000</f>
        <v>0.14</v>
      </c>
      <c r="N111" s="16" t="s">
        <v>1066</v>
      </c>
      <c r="O111" s="40"/>
    </row>
    <row r="112" s="5" customFormat="1" ht="32" customHeight="1" spans="1:15">
      <c r="A112" s="15" t="s">
        <v>266</v>
      </c>
      <c r="B112" s="15"/>
      <c r="C112" s="15"/>
      <c r="D112" s="15"/>
      <c r="E112" s="15"/>
      <c r="F112" s="15"/>
      <c r="G112" s="15"/>
      <c r="H112" s="15"/>
      <c r="I112" s="38">
        <f t="shared" ref="I112:M112" si="35">SUM(I113:I180)</f>
        <v>10.67</v>
      </c>
      <c r="J112" s="38">
        <f t="shared" si="35"/>
        <v>3180</v>
      </c>
      <c r="K112" s="38">
        <f t="shared" si="35"/>
        <v>57</v>
      </c>
      <c r="L112" s="38">
        <f t="shared" si="35"/>
        <v>17.27</v>
      </c>
      <c r="M112" s="38">
        <f t="shared" si="35"/>
        <v>14.47</v>
      </c>
      <c r="N112" s="15"/>
      <c r="O112" s="69"/>
    </row>
    <row r="113" s="6" customFormat="1" ht="28" customHeight="1" spans="1:15">
      <c r="A113" s="22">
        <v>1</v>
      </c>
      <c r="B113" s="16" t="s">
        <v>266</v>
      </c>
      <c r="C113" s="16" t="s">
        <v>163</v>
      </c>
      <c r="D113" s="63" t="s">
        <v>1081</v>
      </c>
      <c r="E113" s="64">
        <v>2177.1</v>
      </c>
      <c r="F113" s="65" t="s">
        <v>1081</v>
      </c>
      <c r="G113" s="66">
        <v>2177.34</v>
      </c>
      <c r="H113" s="16" t="s">
        <v>1047</v>
      </c>
      <c r="I113" s="41">
        <v>0.24</v>
      </c>
      <c r="J113" s="41">
        <v>72</v>
      </c>
      <c r="K113" s="41"/>
      <c r="L113" s="19">
        <f t="shared" ref="L113:L176" si="36">M113*1.2</f>
        <v>0.38</v>
      </c>
      <c r="M113" s="19">
        <f t="shared" ref="M113:M127" si="37">J113*45/10000</f>
        <v>0.32</v>
      </c>
      <c r="N113" s="16" t="s">
        <v>1052</v>
      </c>
      <c r="O113" s="16"/>
    </row>
    <row r="114" s="6" customFormat="1" ht="28" customHeight="1" spans="1:15">
      <c r="A114" s="22">
        <v>2</v>
      </c>
      <c r="B114" s="16" t="s">
        <v>266</v>
      </c>
      <c r="C114" s="16" t="s">
        <v>163</v>
      </c>
      <c r="D114" s="65" t="s">
        <v>1081</v>
      </c>
      <c r="E114" s="64">
        <v>2177.4</v>
      </c>
      <c r="F114" s="65" t="s">
        <v>1081</v>
      </c>
      <c r="G114" s="66">
        <v>2177.64</v>
      </c>
      <c r="H114" s="16" t="s">
        <v>1047</v>
      </c>
      <c r="I114" s="41">
        <v>0.24</v>
      </c>
      <c r="J114" s="41">
        <v>72</v>
      </c>
      <c r="K114" s="41"/>
      <c r="L114" s="19">
        <f t="shared" si="36"/>
        <v>0.38</v>
      </c>
      <c r="M114" s="19">
        <f t="shared" si="37"/>
        <v>0.32</v>
      </c>
      <c r="N114" s="16" t="s">
        <v>1052</v>
      </c>
      <c r="O114" s="16"/>
    </row>
    <row r="115" s="6" customFormat="1" ht="28" customHeight="1" spans="1:15">
      <c r="A115" s="22">
        <v>3</v>
      </c>
      <c r="B115" s="16" t="s">
        <v>266</v>
      </c>
      <c r="C115" s="16" t="s">
        <v>163</v>
      </c>
      <c r="D115" s="63" t="s">
        <v>1081</v>
      </c>
      <c r="E115" s="64">
        <v>2177.7</v>
      </c>
      <c r="F115" s="65" t="s">
        <v>1081</v>
      </c>
      <c r="G115" s="66">
        <v>2177.94</v>
      </c>
      <c r="H115" s="16" t="s">
        <v>1047</v>
      </c>
      <c r="I115" s="41">
        <v>0.24</v>
      </c>
      <c r="J115" s="41">
        <v>72</v>
      </c>
      <c r="K115" s="41"/>
      <c r="L115" s="19">
        <f t="shared" si="36"/>
        <v>0.38</v>
      </c>
      <c r="M115" s="19">
        <f t="shared" si="37"/>
        <v>0.32</v>
      </c>
      <c r="N115" s="16" t="s">
        <v>1052</v>
      </c>
      <c r="O115" s="16"/>
    </row>
    <row r="116" s="6" customFormat="1" ht="28" customHeight="1" spans="1:15">
      <c r="A116" s="22">
        <v>4</v>
      </c>
      <c r="B116" s="16" t="s">
        <v>266</v>
      </c>
      <c r="C116" s="16" t="s">
        <v>163</v>
      </c>
      <c r="D116" s="63" t="s">
        <v>1082</v>
      </c>
      <c r="E116" s="64">
        <v>2179.1</v>
      </c>
      <c r="F116" s="65" t="s">
        <v>1082</v>
      </c>
      <c r="G116" s="66">
        <v>2179.34</v>
      </c>
      <c r="H116" s="16" t="s">
        <v>1047</v>
      </c>
      <c r="I116" s="41">
        <v>0.24</v>
      </c>
      <c r="J116" s="41">
        <v>72</v>
      </c>
      <c r="K116" s="41"/>
      <c r="L116" s="19">
        <f t="shared" si="36"/>
        <v>0.38</v>
      </c>
      <c r="M116" s="19">
        <f t="shared" si="37"/>
        <v>0.32</v>
      </c>
      <c r="N116" s="16" t="s">
        <v>1052</v>
      </c>
      <c r="O116" s="16"/>
    </row>
    <row r="117" s="6" customFormat="1" ht="28" customHeight="1" spans="1:15">
      <c r="A117" s="22">
        <v>5</v>
      </c>
      <c r="B117" s="16" t="s">
        <v>266</v>
      </c>
      <c r="C117" s="16" t="s">
        <v>163</v>
      </c>
      <c r="D117" s="65" t="s">
        <v>1082</v>
      </c>
      <c r="E117" s="64">
        <v>2179.7</v>
      </c>
      <c r="F117" s="65" t="s">
        <v>1082</v>
      </c>
      <c r="G117" s="66">
        <v>2179.94</v>
      </c>
      <c r="H117" s="16" t="s">
        <v>1047</v>
      </c>
      <c r="I117" s="41">
        <v>0.24</v>
      </c>
      <c r="J117" s="41">
        <v>72</v>
      </c>
      <c r="K117" s="41"/>
      <c r="L117" s="19">
        <f t="shared" si="36"/>
        <v>0.38</v>
      </c>
      <c r="M117" s="19">
        <f t="shared" si="37"/>
        <v>0.32</v>
      </c>
      <c r="N117" s="16" t="s">
        <v>1052</v>
      </c>
      <c r="O117" s="16"/>
    </row>
    <row r="118" s="6" customFormat="1" ht="28" customHeight="1" spans="1:15">
      <c r="A118" s="22">
        <v>6</v>
      </c>
      <c r="B118" s="16" t="s">
        <v>266</v>
      </c>
      <c r="C118" s="16" t="s">
        <v>163</v>
      </c>
      <c r="D118" s="63" t="s">
        <v>1083</v>
      </c>
      <c r="E118" s="64">
        <v>2183.7</v>
      </c>
      <c r="F118" s="65" t="s">
        <v>1083</v>
      </c>
      <c r="G118" s="66">
        <v>2183.94</v>
      </c>
      <c r="H118" s="16" t="s">
        <v>1047</v>
      </c>
      <c r="I118" s="41">
        <v>0.24</v>
      </c>
      <c r="J118" s="41">
        <v>72</v>
      </c>
      <c r="K118" s="41"/>
      <c r="L118" s="19">
        <f t="shared" si="36"/>
        <v>0.38</v>
      </c>
      <c r="M118" s="19">
        <f t="shared" si="37"/>
        <v>0.32</v>
      </c>
      <c r="N118" s="16" t="s">
        <v>1052</v>
      </c>
      <c r="O118" s="16"/>
    </row>
    <row r="119" s="6" customFormat="1" ht="28" customHeight="1" spans="1:15">
      <c r="A119" s="22">
        <v>7</v>
      </c>
      <c r="B119" s="16" t="s">
        <v>266</v>
      </c>
      <c r="C119" s="16" t="s">
        <v>163</v>
      </c>
      <c r="D119" s="63" t="s">
        <v>1083</v>
      </c>
      <c r="E119" s="64">
        <v>2184.5</v>
      </c>
      <c r="F119" s="65" t="s">
        <v>1083</v>
      </c>
      <c r="G119" s="66">
        <v>2184.74</v>
      </c>
      <c r="H119" s="16" t="s">
        <v>1047</v>
      </c>
      <c r="I119" s="41">
        <v>0.24</v>
      </c>
      <c r="J119" s="41">
        <v>72</v>
      </c>
      <c r="K119" s="41"/>
      <c r="L119" s="19">
        <f t="shared" si="36"/>
        <v>0.38</v>
      </c>
      <c r="M119" s="19">
        <f t="shared" si="37"/>
        <v>0.32</v>
      </c>
      <c r="N119" s="16" t="s">
        <v>1052</v>
      </c>
      <c r="O119" s="16"/>
    </row>
    <row r="120" s="6" customFormat="1" ht="28" customHeight="1" spans="1:15">
      <c r="A120" s="22">
        <v>8</v>
      </c>
      <c r="B120" s="16" t="s">
        <v>266</v>
      </c>
      <c r="C120" s="16" t="s">
        <v>163</v>
      </c>
      <c r="D120" s="63" t="s">
        <v>1083</v>
      </c>
      <c r="E120" s="64">
        <v>2185.2</v>
      </c>
      <c r="F120" s="63" t="s">
        <v>1083</v>
      </c>
      <c r="G120" s="66">
        <v>2185.44</v>
      </c>
      <c r="H120" s="16" t="s">
        <v>1047</v>
      </c>
      <c r="I120" s="41">
        <v>0.24</v>
      </c>
      <c r="J120" s="41">
        <v>72</v>
      </c>
      <c r="K120" s="41"/>
      <c r="L120" s="19">
        <f t="shared" si="36"/>
        <v>0.38</v>
      </c>
      <c r="M120" s="19">
        <f t="shared" si="37"/>
        <v>0.32</v>
      </c>
      <c r="N120" s="16" t="s">
        <v>1052</v>
      </c>
      <c r="O120" s="16"/>
    </row>
    <row r="121" s="6" customFormat="1" ht="28" customHeight="1" spans="1:15">
      <c r="A121" s="22">
        <v>9</v>
      </c>
      <c r="B121" s="16" t="s">
        <v>266</v>
      </c>
      <c r="C121" s="16" t="s">
        <v>163</v>
      </c>
      <c r="D121" s="63" t="s">
        <v>1084</v>
      </c>
      <c r="E121" s="64">
        <v>2188.1</v>
      </c>
      <c r="F121" s="63" t="s">
        <v>1084</v>
      </c>
      <c r="G121" s="66">
        <v>2188.34</v>
      </c>
      <c r="H121" s="16" t="s">
        <v>1047</v>
      </c>
      <c r="I121" s="41">
        <v>0.24</v>
      </c>
      <c r="J121" s="41">
        <v>72</v>
      </c>
      <c r="K121" s="41"/>
      <c r="L121" s="19">
        <f t="shared" si="36"/>
        <v>0.38</v>
      </c>
      <c r="M121" s="19">
        <f t="shared" si="37"/>
        <v>0.32</v>
      </c>
      <c r="N121" s="16" t="s">
        <v>1052</v>
      </c>
      <c r="O121" s="16"/>
    </row>
    <row r="122" s="6" customFormat="1" ht="28" customHeight="1" spans="1:15">
      <c r="A122" s="22">
        <v>10</v>
      </c>
      <c r="B122" s="16" t="s">
        <v>266</v>
      </c>
      <c r="C122" s="16" t="s">
        <v>163</v>
      </c>
      <c r="D122" s="22" t="s">
        <v>1085</v>
      </c>
      <c r="E122" s="63">
        <v>2196.62</v>
      </c>
      <c r="F122" s="22" t="s">
        <v>1085</v>
      </c>
      <c r="G122" s="66">
        <v>2196.86</v>
      </c>
      <c r="H122" s="16" t="s">
        <v>1047</v>
      </c>
      <c r="I122" s="41">
        <v>0.24</v>
      </c>
      <c r="J122" s="41">
        <v>72</v>
      </c>
      <c r="K122" s="41"/>
      <c r="L122" s="19">
        <f t="shared" si="36"/>
        <v>0.38</v>
      </c>
      <c r="M122" s="19">
        <f t="shared" si="37"/>
        <v>0.32</v>
      </c>
      <c r="N122" s="16" t="s">
        <v>1052</v>
      </c>
      <c r="O122" s="16"/>
    </row>
    <row r="123" s="6" customFormat="1" ht="28" customHeight="1" spans="1:15">
      <c r="A123" s="22">
        <v>11</v>
      </c>
      <c r="B123" s="16" t="s">
        <v>266</v>
      </c>
      <c r="C123" s="16" t="s">
        <v>163</v>
      </c>
      <c r="D123" s="22" t="s">
        <v>1086</v>
      </c>
      <c r="E123" s="63">
        <v>2197.99</v>
      </c>
      <c r="F123" s="22" t="s">
        <v>1086</v>
      </c>
      <c r="G123" s="66">
        <v>2198.23</v>
      </c>
      <c r="H123" s="16" t="s">
        <v>1047</v>
      </c>
      <c r="I123" s="41">
        <v>0.24</v>
      </c>
      <c r="J123" s="41">
        <v>72</v>
      </c>
      <c r="K123" s="41"/>
      <c r="L123" s="19">
        <f t="shared" si="36"/>
        <v>0.38</v>
      </c>
      <c r="M123" s="19">
        <f t="shared" si="37"/>
        <v>0.32</v>
      </c>
      <c r="N123" s="16" t="s">
        <v>1052</v>
      </c>
      <c r="O123" s="16"/>
    </row>
    <row r="124" s="6" customFormat="1" ht="28" customHeight="1" spans="1:15">
      <c r="A124" s="22">
        <v>12</v>
      </c>
      <c r="B124" s="16" t="s">
        <v>266</v>
      </c>
      <c r="C124" s="16" t="s">
        <v>163</v>
      </c>
      <c r="D124" s="22" t="s">
        <v>1087</v>
      </c>
      <c r="E124" s="64">
        <v>2198.68</v>
      </c>
      <c r="F124" s="22" t="s">
        <v>1087</v>
      </c>
      <c r="G124" s="66">
        <v>2198.92</v>
      </c>
      <c r="H124" s="16" t="s">
        <v>1047</v>
      </c>
      <c r="I124" s="41">
        <v>0.24</v>
      </c>
      <c r="J124" s="41">
        <v>72</v>
      </c>
      <c r="K124" s="41"/>
      <c r="L124" s="19">
        <f t="shared" si="36"/>
        <v>0.38</v>
      </c>
      <c r="M124" s="19">
        <f t="shared" si="37"/>
        <v>0.32</v>
      </c>
      <c r="N124" s="16" t="s">
        <v>1052</v>
      </c>
      <c r="O124" s="16"/>
    </row>
    <row r="125" s="6" customFormat="1" ht="28" customHeight="1" spans="1:15">
      <c r="A125" s="22">
        <v>13</v>
      </c>
      <c r="B125" s="16" t="s">
        <v>266</v>
      </c>
      <c r="C125" s="16" t="s">
        <v>163</v>
      </c>
      <c r="D125" s="22" t="s">
        <v>1088</v>
      </c>
      <c r="E125" s="64">
        <v>2198.98</v>
      </c>
      <c r="F125" s="22" t="s">
        <v>1088</v>
      </c>
      <c r="G125" s="66">
        <v>2199.22</v>
      </c>
      <c r="H125" s="16" t="s">
        <v>1047</v>
      </c>
      <c r="I125" s="41">
        <v>0.24</v>
      </c>
      <c r="J125" s="41">
        <v>72</v>
      </c>
      <c r="K125" s="41"/>
      <c r="L125" s="19">
        <f t="shared" si="36"/>
        <v>0.38</v>
      </c>
      <c r="M125" s="19">
        <f t="shared" si="37"/>
        <v>0.32</v>
      </c>
      <c r="N125" s="16" t="s">
        <v>1052</v>
      </c>
      <c r="O125" s="16"/>
    </row>
    <row r="126" s="6" customFormat="1" ht="28" customHeight="1" spans="1:15">
      <c r="A126" s="22">
        <v>14</v>
      </c>
      <c r="B126" s="16" t="s">
        <v>266</v>
      </c>
      <c r="C126" s="16" t="s">
        <v>163</v>
      </c>
      <c r="D126" s="22" t="s">
        <v>1089</v>
      </c>
      <c r="E126" s="64">
        <v>2200.95</v>
      </c>
      <c r="F126" s="22" t="s">
        <v>1089</v>
      </c>
      <c r="G126" s="66">
        <v>2201.19</v>
      </c>
      <c r="H126" s="16" t="s">
        <v>1047</v>
      </c>
      <c r="I126" s="41">
        <v>0.24</v>
      </c>
      <c r="J126" s="41">
        <v>72</v>
      </c>
      <c r="K126" s="41"/>
      <c r="L126" s="19">
        <f t="shared" si="36"/>
        <v>0.38</v>
      </c>
      <c r="M126" s="19">
        <f t="shared" si="37"/>
        <v>0.32</v>
      </c>
      <c r="N126" s="16" t="s">
        <v>1052</v>
      </c>
      <c r="O126" s="16"/>
    </row>
    <row r="127" s="6" customFormat="1" ht="28" customHeight="1" spans="1:15">
      <c r="A127" s="22">
        <v>15</v>
      </c>
      <c r="B127" s="16" t="s">
        <v>266</v>
      </c>
      <c r="C127" s="16" t="s">
        <v>163</v>
      </c>
      <c r="D127" s="22" t="s">
        <v>1090</v>
      </c>
      <c r="E127" s="64">
        <v>2202.682</v>
      </c>
      <c r="F127" s="22" t="s">
        <v>1090</v>
      </c>
      <c r="G127" s="66">
        <v>2202.922</v>
      </c>
      <c r="H127" s="16" t="s">
        <v>1047</v>
      </c>
      <c r="I127" s="41">
        <v>0.24</v>
      </c>
      <c r="J127" s="41">
        <v>72</v>
      </c>
      <c r="K127" s="41"/>
      <c r="L127" s="19">
        <f t="shared" si="36"/>
        <v>0.38</v>
      </c>
      <c r="M127" s="19">
        <f t="shared" si="37"/>
        <v>0.32</v>
      </c>
      <c r="N127" s="16" t="s">
        <v>1052</v>
      </c>
      <c r="O127" s="16"/>
    </row>
    <row r="128" s="6" customFormat="1" ht="28" customHeight="1" spans="1:15">
      <c r="A128" s="22">
        <v>16</v>
      </c>
      <c r="B128" s="16" t="s">
        <v>266</v>
      </c>
      <c r="C128" s="16" t="s">
        <v>163</v>
      </c>
      <c r="D128" s="63" t="s">
        <v>1091</v>
      </c>
      <c r="E128" s="64">
        <v>2215.9</v>
      </c>
      <c r="F128" s="63" t="s">
        <v>1091</v>
      </c>
      <c r="G128" s="66">
        <v>2216.02</v>
      </c>
      <c r="H128" s="16" t="s">
        <v>1047</v>
      </c>
      <c r="I128" s="41">
        <v>0.12</v>
      </c>
      <c r="J128" s="41">
        <v>36</v>
      </c>
      <c r="K128" s="41">
        <v>3</v>
      </c>
      <c r="L128" s="19">
        <f t="shared" si="36"/>
        <v>0.22</v>
      </c>
      <c r="M128" s="19">
        <f>(J128+K128)*45/10000</f>
        <v>0.18</v>
      </c>
      <c r="N128" s="16" t="s">
        <v>1048</v>
      </c>
      <c r="O128" s="16"/>
    </row>
    <row r="129" s="6" customFormat="1" ht="28" customHeight="1" spans="1:15">
      <c r="A129" s="22">
        <v>17</v>
      </c>
      <c r="B129" s="16" t="s">
        <v>266</v>
      </c>
      <c r="C129" s="16" t="s">
        <v>163</v>
      </c>
      <c r="D129" s="63" t="s">
        <v>1091</v>
      </c>
      <c r="E129" s="64">
        <v>2216.8</v>
      </c>
      <c r="F129" s="63" t="s">
        <v>1091</v>
      </c>
      <c r="G129" s="66">
        <v>2216.92</v>
      </c>
      <c r="H129" s="16" t="s">
        <v>1047</v>
      </c>
      <c r="I129" s="41">
        <v>0.12</v>
      </c>
      <c r="J129" s="41">
        <v>36</v>
      </c>
      <c r="K129" s="41"/>
      <c r="L129" s="19">
        <f t="shared" si="36"/>
        <v>0.19</v>
      </c>
      <c r="M129" s="19">
        <f t="shared" ref="M129:M132" si="38">J129*45/10000</f>
        <v>0.16</v>
      </c>
      <c r="N129" s="16" t="s">
        <v>1052</v>
      </c>
      <c r="O129" s="16"/>
    </row>
    <row r="130" s="6" customFormat="1" ht="28" customHeight="1" spans="1:15">
      <c r="A130" s="22">
        <v>18</v>
      </c>
      <c r="B130" s="16" t="s">
        <v>266</v>
      </c>
      <c r="C130" s="16" t="s">
        <v>163</v>
      </c>
      <c r="D130" s="63" t="s">
        <v>1091</v>
      </c>
      <c r="E130" s="64">
        <v>2217.1</v>
      </c>
      <c r="F130" s="63" t="s">
        <v>1091</v>
      </c>
      <c r="G130" s="66">
        <v>2217.22</v>
      </c>
      <c r="H130" s="16" t="s">
        <v>1047</v>
      </c>
      <c r="I130" s="41">
        <v>0.12</v>
      </c>
      <c r="J130" s="41">
        <v>36</v>
      </c>
      <c r="K130" s="41"/>
      <c r="L130" s="19">
        <f t="shared" si="36"/>
        <v>0.19</v>
      </c>
      <c r="M130" s="19">
        <f t="shared" si="38"/>
        <v>0.16</v>
      </c>
      <c r="N130" s="16" t="s">
        <v>1052</v>
      </c>
      <c r="O130" s="16"/>
    </row>
    <row r="131" s="6" customFormat="1" ht="28" customHeight="1" spans="1:15">
      <c r="A131" s="22">
        <v>19</v>
      </c>
      <c r="B131" s="16" t="s">
        <v>266</v>
      </c>
      <c r="C131" s="16" t="s">
        <v>163</v>
      </c>
      <c r="D131" s="63" t="s">
        <v>1091</v>
      </c>
      <c r="E131" s="64">
        <v>2217.6</v>
      </c>
      <c r="F131" s="63" t="s">
        <v>1092</v>
      </c>
      <c r="G131" s="66">
        <v>2217.72</v>
      </c>
      <c r="H131" s="22" t="s">
        <v>1047</v>
      </c>
      <c r="I131" s="41">
        <v>0.12</v>
      </c>
      <c r="J131" s="41">
        <v>36</v>
      </c>
      <c r="K131" s="41"/>
      <c r="L131" s="19">
        <f t="shared" si="36"/>
        <v>0.19</v>
      </c>
      <c r="M131" s="19">
        <f t="shared" si="38"/>
        <v>0.16</v>
      </c>
      <c r="N131" s="16" t="s">
        <v>1052</v>
      </c>
      <c r="O131" s="16"/>
    </row>
    <row r="132" s="6" customFormat="1" ht="28" customHeight="1" spans="1:15">
      <c r="A132" s="22">
        <v>20</v>
      </c>
      <c r="B132" s="16" t="s">
        <v>266</v>
      </c>
      <c r="C132" s="16" t="s">
        <v>163</v>
      </c>
      <c r="D132" s="63" t="s">
        <v>1092</v>
      </c>
      <c r="E132" s="64">
        <v>2217.8</v>
      </c>
      <c r="F132" s="63" t="s">
        <v>1092</v>
      </c>
      <c r="G132" s="66">
        <v>2217.92</v>
      </c>
      <c r="H132" s="16" t="s">
        <v>1047</v>
      </c>
      <c r="I132" s="41">
        <v>0.12</v>
      </c>
      <c r="J132" s="41">
        <v>36</v>
      </c>
      <c r="K132" s="41"/>
      <c r="L132" s="19">
        <f t="shared" si="36"/>
        <v>0.19</v>
      </c>
      <c r="M132" s="19">
        <f t="shared" si="38"/>
        <v>0.16</v>
      </c>
      <c r="N132" s="16" t="s">
        <v>1052</v>
      </c>
      <c r="O132" s="16"/>
    </row>
    <row r="133" s="6" customFormat="1" ht="28" customHeight="1" spans="1:15">
      <c r="A133" s="22">
        <v>21</v>
      </c>
      <c r="B133" s="16" t="s">
        <v>266</v>
      </c>
      <c r="C133" s="16" t="s">
        <v>163</v>
      </c>
      <c r="D133" s="63" t="s">
        <v>1092</v>
      </c>
      <c r="E133" s="64">
        <v>2218.1</v>
      </c>
      <c r="F133" s="63" t="s">
        <v>1092</v>
      </c>
      <c r="G133" s="66">
        <v>2218.22</v>
      </c>
      <c r="H133" s="16" t="s">
        <v>1047</v>
      </c>
      <c r="I133" s="41">
        <v>0.12</v>
      </c>
      <c r="J133" s="41">
        <v>36</v>
      </c>
      <c r="K133" s="41">
        <v>6</v>
      </c>
      <c r="L133" s="19">
        <f t="shared" si="36"/>
        <v>0.23</v>
      </c>
      <c r="M133" s="19">
        <f>(J133+K133)*45/10000</f>
        <v>0.19</v>
      </c>
      <c r="N133" s="16" t="s">
        <v>1048</v>
      </c>
      <c r="O133" s="16"/>
    </row>
    <row r="134" s="6" customFormat="1" ht="28" customHeight="1" spans="1:15">
      <c r="A134" s="22">
        <v>22</v>
      </c>
      <c r="B134" s="16" t="s">
        <v>266</v>
      </c>
      <c r="C134" s="16" t="s">
        <v>163</v>
      </c>
      <c r="D134" s="63" t="s">
        <v>1093</v>
      </c>
      <c r="E134" s="64">
        <v>2218.5</v>
      </c>
      <c r="F134" s="63" t="s">
        <v>1093</v>
      </c>
      <c r="G134" s="66">
        <v>2218.62</v>
      </c>
      <c r="H134" s="16" t="s">
        <v>1047</v>
      </c>
      <c r="I134" s="41">
        <v>0.12</v>
      </c>
      <c r="J134" s="41">
        <v>36</v>
      </c>
      <c r="K134" s="41"/>
      <c r="L134" s="19">
        <f t="shared" si="36"/>
        <v>0.19</v>
      </c>
      <c r="M134" s="19">
        <f t="shared" ref="M134:M141" si="39">J134*45/10000</f>
        <v>0.16</v>
      </c>
      <c r="N134" s="16" t="s">
        <v>1052</v>
      </c>
      <c r="O134" s="16"/>
    </row>
    <row r="135" s="6" customFormat="1" ht="28" customHeight="1" spans="1:15">
      <c r="A135" s="22">
        <v>23</v>
      </c>
      <c r="B135" s="16" t="s">
        <v>266</v>
      </c>
      <c r="C135" s="16" t="s">
        <v>163</v>
      </c>
      <c r="D135" s="63" t="s">
        <v>1093</v>
      </c>
      <c r="E135" s="64">
        <v>2218.8</v>
      </c>
      <c r="F135" s="63" t="s">
        <v>1094</v>
      </c>
      <c r="G135" s="66">
        <v>2218.92</v>
      </c>
      <c r="H135" s="16" t="s">
        <v>1047</v>
      </c>
      <c r="I135" s="41">
        <v>0.12</v>
      </c>
      <c r="J135" s="41">
        <v>36</v>
      </c>
      <c r="K135" s="41"/>
      <c r="L135" s="19">
        <f t="shared" si="36"/>
        <v>0.19</v>
      </c>
      <c r="M135" s="19">
        <f t="shared" si="39"/>
        <v>0.16</v>
      </c>
      <c r="N135" s="16" t="s">
        <v>1052</v>
      </c>
      <c r="O135" s="16"/>
    </row>
    <row r="136" s="6" customFormat="1" ht="28" customHeight="1" spans="1:15">
      <c r="A136" s="22">
        <v>24</v>
      </c>
      <c r="B136" s="16" t="s">
        <v>266</v>
      </c>
      <c r="C136" s="16" t="s">
        <v>163</v>
      </c>
      <c r="D136" s="63" t="s">
        <v>1095</v>
      </c>
      <c r="E136" s="64">
        <v>2221.7</v>
      </c>
      <c r="F136" s="63" t="s">
        <v>1095</v>
      </c>
      <c r="G136" s="66">
        <v>2221.82</v>
      </c>
      <c r="H136" s="16" t="s">
        <v>1047</v>
      </c>
      <c r="I136" s="41">
        <v>0.12</v>
      </c>
      <c r="J136" s="41">
        <v>36</v>
      </c>
      <c r="K136" s="41"/>
      <c r="L136" s="19">
        <f t="shared" si="36"/>
        <v>0.19</v>
      </c>
      <c r="M136" s="19">
        <f t="shared" si="39"/>
        <v>0.16</v>
      </c>
      <c r="N136" s="16" t="s">
        <v>1052</v>
      </c>
      <c r="O136" s="16"/>
    </row>
    <row r="137" s="6" customFormat="1" ht="28" customHeight="1" spans="1:15">
      <c r="A137" s="22">
        <v>25</v>
      </c>
      <c r="B137" s="16" t="s">
        <v>266</v>
      </c>
      <c r="C137" s="16" t="s">
        <v>163</v>
      </c>
      <c r="D137" s="63" t="s">
        <v>1096</v>
      </c>
      <c r="E137" s="64">
        <v>2191</v>
      </c>
      <c r="F137" s="63" t="s">
        <v>1096</v>
      </c>
      <c r="G137" s="66">
        <v>2191.24</v>
      </c>
      <c r="H137" s="16" t="s">
        <v>1047</v>
      </c>
      <c r="I137" s="41">
        <v>0.24</v>
      </c>
      <c r="J137" s="41">
        <v>72</v>
      </c>
      <c r="K137" s="41"/>
      <c r="L137" s="19">
        <f t="shared" si="36"/>
        <v>0.38</v>
      </c>
      <c r="M137" s="19">
        <f t="shared" si="39"/>
        <v>0.32</v>
      </c>
      <c r="N137" s="16" t="s">
        <v>1052</v>
      </c>
      <c r="O137" s="16"/>
    </row>
    <row r="138" s="6" customFormat="1" ht="28" customHeight="1" spans="1:15">
      <c r="A138" s="22">
        <v>26</v>
      </c>
      <c r="B138" s="16" t="s">
        <v>266</v>
      </c>
      <c r="C138" s="16" t="s">
        <v>415</v>
      </c>
      <c r="D138" s="22" t="s">
        <v>1097</v>
      </c>
      <c r="E138" s="64">
        <v>465.9</v>
      </c>
      <c r="F138" s="22" t="s">
        <v>1098</v>
      </c>
      <c r="G138" s="66">
        <v>466.02</v>
      </c>
      <c r="H138" s="16" t="s">
        <v>1047</v>
      </c>
      <c r="I138" s="41">
        <v>0.12</v>
      </c>
      <c r="J138" s="41">
        <v>36</v>
      </c>
      <c r="K138" s="41"/>
      <c r="L138" s="19">
        <f t="shared" si="36"/>
        <v>0.19</v>
      </c>
      <c r="M138" s="19">
        <f t="shared" si="39"/>
        <v>0.16</v>
      </c>
      <c r="N138" s="16" t="s">
        <v>1052</v>
      </c>
      <c r="O138" s="16"/>
    </row>
    <row r="139" s="6" customFormat="1" ht="28" customHeight="1" spans="1:15">
      <c r="A139" s="22">
        <v>27</v>
      </c>
      <c r="B139" s="16" t="s">
        <v>266</v>
      </c>
      <c r="C139" s="16" t="s">
        <v>415</v>
      </c>
      <c r="D139" s="22" t="s">
        <v>1099</v>
      </c>
      <c r="E139" s="64">
        <v>467.9</v>
      </c>
      <c r="F139" s="22" t="s">
        <v>1099</v>
      </c>
      <c r="G139" s="66">
        <v>468.02</v>
      </c>
      <c r="H139" s="16" t="s">
        <v>1047</v>
      </c>
      <c r="I139" s="41">
        <v>0.12</v>
      </c>
      <c r="J139" s="41">
        <v>36</v>
      </c>
      <c r="K139" s="41"/>
      <c r="L139" s="19">
        <f t="shared" si="36"/>
        <v>0.19</v>
      </c>
      <c r="M139" s="19">
        <f t="shared" si="39"/>
        <v>0.16</v>
      </c>
      <c r="N139" s="16" t="s">
        <v>1052</v>
      </c>
      <c r="O139" s="16"/>
    </row>
    <row r="140" s="6" customFormat="1" ht="28" customHeight="1" spans="1:15">
      <c r="A140" s="22">
        <v>28</v>
      </c>
      <c r="B140" s="16" t="s">
        <v>266</v>
      </c>
      <c r="C140" s="16" t="s">
        <v>415</v>
      </c>
      <c r="D140" s="22" t="s">
        <v>1100</v>
      </c>
      <c r="E140" s="64">
        <v>468.8</v>
      </c>
      <c r="F140" s="22" t="s">
        <v>1100</v>
      </c>
      <c r="G140" s="66">
        <v>468.92</v>
      </c>
      <c r="H140" s="20" t="s">
        <v>1047</v>
      </c>
      <c r="I140" s="75">
        <v>0.12</v>
      </c>
      <c r="J140" s="75">
        <v>36</v>
      </c>
      <c r="K140" s="75"/>
      <c r="L140" s="19">
        <f t="shared" si="36"/>
        <v>0.19</v>
      </c>
      <c r="M140" s="19">
        <f t="shared" si="39"/>
        <v>0.16</v>
      </c>
      <c r="N140" s="16" t="s">
        <v>1052</v>
      </c>
      <c r="O140" s="16"/>
    </row>
    <row r="141" s="6" customFormat="1" ht="28" customHeight="1" spans="1:15">
      <c r="A141" s="22">
        <v>29</v>
      </c>
      <c r="B141" s="16" t="s">
        <v>266</v>
      </c>
      <c r="C141" s="16" t="s">
        <v>415</v>
      </c>
      <c r="D141" s="22" t="s">
        <v>1101</v>
      </c>
      <c r="E141" s="64">
        <v>461.8</v>
      </c>
      <c r="F141" s="22" t="s">
        <v>1102</v>
      </c>
      <c r="G141" s="66">
        <v>461.92</v>
      </c>
      <c r="H141" s="16" t="s">
        <v>1047</v>
      </c>
      <c r="I141" s="41">
        <v>0.12</v>
      </c>
      <c r="J141" s="41">
        <v>36</v>
      </c>
      <c r="K141" s="41"/>
      <c r="L141" s="19">
        <f t="shared" si="36"/>
        <v>0.19</v>
      </c>
      <c r="M141" s="19">
        <f t="shared" si="39"/>
        <v>0.16</v>
      </c>
      <c r="N141" s="16" t="s">
        <v>1052</v>
      </c>
      <c r="O141" s="16"/>
    </row>
    <row r="142" s="6" customFormat="1" ht="28" customHeight="1" spans="1:15">
      <c r="A142" s="22">
        <v>30</v>
      </c>
      <c r="B142" s="16" t="s">
        <v>266</v>
      </c>
      <c r="C142" s="16" t="s">
        <v>415</v>
      </c>
      <c r="D142" s="22" t="s">
        <v>1102</v>
      </c>
      <c r="E142" s="64">
        <v>462.2</v>
      </c>
      <c r="F142" s="22" t="s">
        <v>1102</v>
      </c>
      <c r="G142" s="66">
        <v>462.22</v>
      </c>
      <c r="H142" s="16" t="s">
        <v>1047</v>
      </c>
      <c r="I142" s="41">
        <v>0.02</v>
      </c>
      <c r="J142" s="41"/>
      <c r="K142" s="41">
        <v>6</v>
      </c>
      <c r="L142" s="19">
        <f t="shared" si="36"/>
        <v>0.04</v>
      </c>
      <c r="M142" s="19">
        <f>K142*45/10000</f>
        <v>0.03</v>
      </c>
      <c r="N142" s="16" t="s">
        <v>1066</v>
      </c>
      <c r="O142" s="16"/>
    </row>
    <row r="143" s="6" customFormat="1" ht="28" customHeight="1" spans="1:15">
      <c r="A143" s="22">
        <v>31</v>
      </c>
      <c r="B143" s="16" t="s">
        <v>266</v>
      </c>
      <c r="C143" s="16" t="s">
        <v>415</v>
      </c>
      <c r="D143" s="22" t="s">
        <v>1103</v>
      </c>
      <c r="E143" s="64">
        <v>464.1</v>
      </c>
      <c r="F143" s="22" t="s">
        <v>1103</v>
      </c>
      <c r="G143" s="66">
        <v>464.22</v>
      </c>
      <c r="H143" s="16" t="s">
        <v>1047</v>
      </c>
      <c r="I143" s="41">
        <v>0.12</v>
      </c>
      <c r="J143" s="41">
        <v>36</v>
      </c>
      <c r="K143" s="41">
        <v>6</v>
      </c>
      <c r="L143" s="19">
        <f t="shared" si="36"/>
        <v>0.23</v>
      </c>
      <c r="M143" s="19">
        <f t="shared" ref="M143:M147" si="40">(J143+K143)*45/10000</f>
        <v>0.19</v>
      </c>
      <c r="N143" s="16" t="s">
        <v>1048</v>
      </c>
      <c r="O143" s="16"/>
    </row>
    <row r="144" s="6" customFormat="1" ht="28" customHeight="1" spans="1:15">
      <c r="A144" s="22">
        <v>32</v>
      </c>
      <c r="B144" s="16" t="s">
        <v>266</v>
      </c>
      <c r="C144" s="16" t="s">
        <v>415</v>
      </c>
      <c r="D144" s="22" t="s">
        <v>1104</v>
      </c>
      <c r="E144" s="64">
        <v>469.9</v>
      </c>
      <c r="F144" s="22" t="s">
        <v>1104</v>
      </c>
      <c r="G144" s="66">
        <v>469.92</v>
      </c>
      <c r="H144" s="16" t="s">
        <v>1047</v>
      </c>
      <c r="I144" s="40">
        <v>0.02</v>
      </c>
      <c r="J144" s="40"/>
      <c r="K144" s="40">
        <v>6</v>
      </c>
      <c r="L144" s="19">
        <f t="shared" si="36"/>
        <v>0.04</v>
      </c>
      <c r="M144" s="19">
        <f>K144*45/10000</f>
        <v>0.03</v>
      </c>
      <c r="N144" s="16" t="s">
        <v>1066</v>
      </c>
      <c r="O144" s="16"/>
    </row>
    <row r="145" s="6" customFormat="1" ht="28" customHeight="1" spans="1:15">
      <c r="A145" s="22">
        <v>33</v>
      </c>
      <c r="B145" s="16" t="s">
        <v>266</v>
      </c>
      <c r="C145" s="16" t="s">
        <v>415</v>
      </c>
      <c r="D145" s="22" t="s">
        <v>1105</v>
      </c>
      <c r="E145" s="64">
        <v>470.4</v>
      </c>
      <c r="F145" s="22" t="s">
        <v>1105</v>
      </c>
      <c r="G145" s="66">
        <v>470.52</v>
      </c>
      <c r="H145" s="16" t="s">
        <v>1047</v>
      </c>
      <c r="I145" s="40">
        <v>0.12</v>
      </c>
      <c r="J145" s="40">
        <v>36</v>
      </c>
      <c r="K145" s="40">
        <v>3</v>
      </c>
      <c r="L145" s="19">
        <f t="shared" si="36"/>
        <v>0.22</v>
      </c>
      <c r="M145" s="19">
        <f t="shared" si="40"/>
        <v>0.18</v>
      </c>
      <c r="N145" s="16" t="s">
        <v>1048</v>
      </c>
      <c r="O145" s="16"/>
    </row>
    <row r="146" s="6" customFormat="1" ht="28" customHeight="1" spans="1:15">
      <c r="A146" s="22">
        <v>34</v>
      </c>
      <c r="B146" s="16" t="s">
        <v>266</v>
      </c>
      <c r="C146" s="16" t="s">
        <v>415</v>
      </c>
      <c r="D146" s="22" t="s">
        <v>1106</v>
      </c>
      <c r="E146" s="64">
        <v>470.5</v>
      </c>
      <c r="F146" s="22" t="s">
        <v>1106</v>
      </c>
      <c r="G146" s="66">
        <v>470.62</v>
      </c>
      <c r="H146" s="16" t="s">
        <v>1047</v>
      </c>
      <c r="I146" s="40">
        <v>0.12</v>
      </c>
      <c r="J146" s="40">
        <v>36</v>
      </c>
      <c r="K146" s="40"/>
      <c r="L146" s="19">
        <f t="shared" si="36"/>
        <v>0.19</v>
      </c>
      <c r="M146" s="19">
        <f t="shared" ref="M146:M157" si="41">J146*45/10000</f>
        <v>0.16</v>
      </c>
      <c r="N146" s="16" t="s">
        <v>1052</v>
      </c>
      <c r="O146" s="16"/>
    </row>
    <row r="147" s="6" customFormat="1" ht="28" customHeight="1" spans="1:15">
      <c r="A147" s="22">
        <v>35</v>
      </c>
      <c r="B147" s="16" t="s">
        <v>266</v>
      </c>
      <c r="C147" s="16" t="s">
        <v>415</v>
      </c>
      <c r="D147" s="22" t="s">
        <v>1107</v>
      </c>
      <c r="E147" s="64">
        <v>473.3</v>
      </c>
      <c r="F147" s="22" t="s">
        <v>1107</v>
      </c>
      <c r="G147" s="66">
        <v>473.42</v>
      </c>
      <c r="H147" s="16" t="s">
        <v>1047</v>
      </c>
      <c r="I147" s="40">
        <v>0.12</v>
      </c>
      <c r="J147" s="40">
        <v>36</v>
      </c>
      <c r="K147" s="40">
        <v>3</v>
      </c>
      <c r="L147" s="19">
        <f t="shared" si="36"/>
        <v>0.22</v>
      </c>
      <c r="M147" s="19">
        <f t="shared" si="40"/>
        <v>0.18</v>
      </c>
      <c r="N147" s="16" t="s">
        <v>1048</v>
      </c>
      <c r="O147" s="16"/>
    </row>
    <row r="148" s="6" customFormat="1" ht="28" customHeight="1" spans="1:15">
      <c r="A148" s="22">
        <v>36</v>
      </c>
      <c r="B148" s="16" t="s">
        <v>266</v>
      </c>
      <c r="C148" s="16" t="s">
        <v>415</v>
      </c>
      <c r="D148" s="22" t="s">
        <v>1108</v>
      </c>
      <c r="E148" s="64">
        <v>473.4</v>
      </c>
      <c r="F148" s="22" t="s">
        <v>1108</v>
      </c>
      <c r="G148" s="66">
        <v>473.42</v>
      </c>
      <c r="H148" s="16" t="s">
        <v>1047</v>
      </c>
      <c r="I148" s="41">
        <v>0.02</v>
      </c>
      <c r="J148" s="41"/>
      <c r="K148" s="41">
        <v>6</v>
      </c>
      <c r="L148" s="19">
        <f t="shared" si="36"/>
        <v>0.04</v>
      </c>
      <c r="M148" s="19">
        <f>K148*45/10000</f>
        <v>0.03</v>
      </c>
      <c r="N148" s="16" t="s">
        <v>1066</v>
      </c>
      <c r="O148" s="16"/>
    </row>
    <row r="149" s="6" customFormat="1" ht="28" customHeight="1" spans="1:15">
      <c r="A149" s="22">
        <v>37</v>
      </c>
      <c r="B149" s="16" t="s">
        <v>266</v>
      </c>
      <c r="C149" s="16" t="s">
        <v>415</v>
      </c>
      <c r="D149" s="22" t="s">
        <v>1109</v>
      </c>
      <c r="E149" s="64">
        <v>479.2</v>
      </c>
      <c r="F149" s="22" t="s">
        <v>1109</v>
      </c>
      <c r="G149" s="66">
        <v>479.32</v>
      </c>
      <c r="H149" s="16" t="s">
        <v>1047</v>
      </c>
      <c r="I149" s="41">
        <v>0.12</v>
      </c>
      <c r="J149" s="41">
        <v>36</v>
      </c>
      <c r="K149" s="41"/>
      <c r="L149" s="19">
        <f t="shared" si="36"/>
        <v>0.19</v>
      </c>
      <c r="M149" s="19">
        <f t="shared" si="41"/>
        <v>0.16</v>
      </c>
      <c r="N149" s="16" t="s">
        <v>1052</v>
      </c>
      <c r="O149" s="16"/>
    </row>
    <row r="150" s="6" customFormat="1" ht="28" customHeight="1" spans="1:15">
      <c r="A150" s="22">
        <v>38</v>
      </c>
      <c r="B150" s="16" t="s">
        <v>266</v>
      </c>
      <c r="C150" s="16" t="s">
        <v>415</v>
      </c>
      <c r="D150" s="22" t="s">
        <v>1110</v>
      </c>
      <c r="E150" s="64">
        <v>479.7</v>
      </c>
      <c r="F150" s="22" t="s">
        <v>1111</v>
      </c>
      <c r="G150" s="66">
        <v>479.82</v>
      </c>
      <c r="H150" s="16" t="s">
        <v>1047</v>
      </c>
      <c r="I150" s="41">
        <v>0.12</v>
      </c>
      <c r="J150" s="41">
        <v>36</v>
      </c>
      <c r="K150" s="41"/>
      <c r="L150" s="19">
        <f t="shared" si="36"/>
        <v>0.19</v>
      </c>
      <c r="M150" s="19">
        <f t="shared" si="41"/>
        <v>0.16</v>
      </c>
      <c r="N150" s="16" t="s">
        <v>1052</v>
      </c>
      <c r="O150" s="16"/>
    </row>
    <row r="151" s="6" customFormat="1" ht="28" customHeight="1" spans="1:15">
      <c r="A151" s="22">
        <v>39</v>
      </c>
      <c r="B151" s="16" t="s">
        <v>266</v>
      </c>
      <c r="C151" s="16" t="s">
        <v>415</v>
      </c>
      <c r="D151" s="22" t="s">
        <v>1112</v>
      </c>
      <c r="E151" s="64">
        <v>481.7</v>
      </c>
      <c r="F151" s="22" t="s">
        <v>1112</v>
      </c>
      <c r="G151" s="66">
        <v>481.82</v>
      </c>
      <c r="H151" s="16" t="s">
        <v>1047</v>
      </c>
      <c r="I151" s="41">
        <v>0.12</v>
      </c>
      <c r="J151" s="41">
        <v>36</v>
      </c>
      <c r="K151" s="41"/>
      <c r="L151" s="19">
        <f t="shared" si="36"/>
        <v>0.19</v>
      </c>
      <c r="M151" s="19">
        <f t="shared" si="41"/>
        <v>0.16</v>
      </c>
      <c r="N151" s="16" t="s">
        <v>1052</v>
      </c>
      <c r="O151" s="16"/>
    </row>
    <row r="152" s="6" customFormat="1" ht="28" customHeight="1" spans="1:15">
      <c r="A152" s="22">
        <v>40</v>
      </c>
      <c r="B152" s="16" t="s">
        <v>266</v>
      </c>
      <c r="C152" s="16" t="s">
        <v>415</v>
      </c>
      <c r="D152" s="22" t="s">
        <v>1113</v>
      </c>
      <c r="E152" s="64">
        <v>485</v>
      </c>
      <c r="F152" s="22" t="s">
        <v>1114</v>
      </c>
      <c r="G152" s="66">
        <v>486</v>
      </c>
      <c r="H152" s="16" t="s">
        <v>1047</v>
      </c>
      <c r="I152" s="41">
        <v>1</v>
      </c>
      <c r="J152" s="41">
        <v>300</v>
      </c>
      <c r="K152" s="41"/>
      <c r="L152" s="19">
        <f t="shared" si="36"/>
        <v>1.62</v>
      </c>
      <c r="M152" s="19">
        <f t="shared" si="41"/>
        <v>1.35</v>
      </c>
      <c r="N152" s="16" t="s">
        <v>1052</v>
      </c>
      <c r="O152" s="16"/>
    </row>
    <row r="153" s="6" customFormat="1" ht="28" customHeight="1" spans="1:15">
      <c r="A153" s="22">
        <v>41</v>
      </c>
      <c r="B153" s="16" t="s">
        <v>266</v>
      </c>
      <c r="C153" s="16" t="s">
        <v>415</v>
      </c>
      <c r="D153" s="22" t="s">
        <v>1115</v>
      </c>
      <c r="E153" s="64">
        <v>486.3</v>
      </c>
      <c r="F153" s="22" t="s">
        <v>1115</v>
      </c>
      <c r="G153" s="66">
        <v>486.42</v>
      </c>
      <c r="H153" s="16" t="s">
        <v>1047</v>
      </c>
      <c r="I153" s="41">
        <v>0.12</v>
      </c>
      <c r="J153" s="41">
        <v>36</v>
      </c>
      <c r="K153" s="41"/>
      <c r="L153" s="19">
        <f t="shared" si="36"/>
        <v>0.19</v>
      </c>
      <c r="M153" s="19">
        <f t="shared" si="41"/>
        <v>0.16</v>
      </c>
      <c r="N153" s="16" t="s">
        <v>1052</v>
      </c>
      <c r="O153" s="16"/>
    </row>
    <row r="154" s="6" customFormat="1" ht="28" customHeight="1" spans="1:15">
      <c r="A154" s="22">
        <v>42</v>
      </c>
      <c r="B154" s="16" t="s">
        <v>266</v>
      </c>
      <c r="C154" s="16" t="s">
        <v>415</v>
      </c>
      <c r="D154" s="22" t="s">
        <v>1116</v>
      </c>
      <c r="E154" s="64">
        <v>487.35</v>
      </c>
      <c r="F154" s="22" t="s">
        <v>1117</v>
      </c>
      <c r="G154" s="66">
        <v>487.47</v>
      </c>
      <c r="H154" s="16" t="s">
        <v>1047</v>
      </c>
      <c r="I154" s="41">
        <v>0.12</v>
      </c>
      <c r="J154" s="41">
        <v>36</v>
      </c>
      <c r="K154" s="41"/>
      <c r="L154" s="19">
        <f t="shared" si="36"/>
        <v>0.19</v>
      </c>
      <c r="M154" s="19">
        <f t="shared" si="41"/>
        <v>0.16</v>
      </c>
      <c r="N154" s="16" t="s">
        <v>1052</v>
      </c>
      <c r="O154" s="16"/>
    </row>
    <row r="155" s="6" customFormat="1" ht="28" customHeight="1" spans="1:15">
      <c r="A155" s="22">
        <v>43</v>
      </c>
      <c r="B155" s="16" t="s">
        <v>266</v>
      </c>
      <c r="C155" s="16" t="s">
        <v>415</v>
      </c>
      <c r="D155" s="22" t="s">
        <v>1118</v>
      </c>
      <c r="E155" s="64">
        <v>488.5</v>
      </c>
      <c r="F155" s="22" t="s">
        <v>1118</v>
      </c>
      <c r="G155" s="66">
        <v>488.62</v>
      </c>
      <c r="H155" s="16" t="s">
        <v>1047</v>
      </c>
      <c r="I155" s="41">
        <v>0.12</v>
      </c>
      <c r="J155" s="41">
        <v>36</v>
      </c>
      <c r="K155" s="41"/>
      <c r="L155" s="19">
        <f t="shared" si="36"/>
        <v>0.19</v>
      </c>
      <c r="M155" s="19">
        <f t="shared" si="41"/>
        <v>0.16</v>
      </c>
      <c r="N155" s="16" t="s">
        <v>1052</v>
      </c>
      <c r="O155" s="16"/>
    </row>
    <row r="156" s="6" customFormat="1" ht="28" customHeight="1" spans="1:15">
      <c r="A156" s="22">
        <v>44</v>
      </c>
      <c r="B156" s="16" t="s">
        <v>266</v>
      </c>
      <c r="C156" s="16" t="s">
        <v>415</v>
      </c>
      <c r="D156" s="22" t="s">
        <v>1119</v>
      </c>
      <c r="E156" s="64">
        <v>489.1</v>
      </c>
      <c r="F156" s="22" t="s">
        <v>1119</v>
      </c>
      <c r="G156" s="66">
        <v>489.22</v>
      </c>
      <c r="H156" s="16" t="s">
        <v>1047</v>
      </c>
      <c r="I156" s="41">
        <v>0.12</v>
      </c>
      <c r="J156" s="41">
        <v>36</v>
      </c>
      <c r="K156" s="41"/>
      <c r="L156" s="19">
        <f t="shared" si="36"/>
        <v>0.19</v>
      </c>
      <c r="M156" s="19">
        <f t="shared" si="41"/>
        <v>0.16</v>
      </c>
      <c r="N156" s="16" t="s">
        <v>1052</v>
      </c>
      <c r="O156" s="16"/>
    </row>
    <row r="157" s="6" customFormat="1" ht="28" customHeight="1" spans="1:15">
      <c r="A157" s="22">
        <v>45</v>
      </c>
      <c r="B157" s="16" t="s">
        <v>266</v>
      </c>
      <c r="C157" s="16" t="s">
        <v>415</v>
      </c>
      <c r="D157" s="22" t="s">
        <v>1120</v>
      </c>
      <c r="E157" s="64">
        <v>491</v>
      </c>
      <c r="F157" s="22" t="s">
        <v>1120</v>
      </c>
      <c r="G157" s="66">
        <v>491.12</v>
      </c>
      <c r="H157" s="16" t="s">
        <v>1047</v>
      </c>
      <c r="I157" s="41">
        <v>0.12</v>
      </c>
      <c r="J157" s="41">
        <v>36</v>
      </c>
      <c r="K157" s="41"/>
      <c r="L157" s="19">
        <f t="shared" si="36"/>
        <v>0.19</v>
      </c>
      <c r="M157" s="19">
        <f t="shared" si="41"/>
        <v>0.16</v>
      </c>
      <c r="N157" s="16" t="s">
        <v>1052</v>
      </c>
      <c r="O157" s="16"/>
    </row>
    <row r="158" s="6" customFormat="1" ht="28" customHeight="1" spans="1:15">
      <c r="A158" s="22">
        <v>46</v>
      </c>
      <c r="B158" s="16" t="s">
        <v>266</v>
      </c>
      <c r="C158" s="16" t="s">
        <v>415</v>
      </c>
      <c r="D158" s="22" t="s">
        <v>1121</v>
      </c>
      <c r="E158" s="64">
        <v>492.7</v>
      </c>
      <c r="F158" s="22" t="s">
        <v>1121</v>
      </c>
      <c r="G158" s="66">
        <v>492.82</v>
      </c>
      <c r="H158" s="16" t="s">
        <v>1047</v>
      </c>
      <c r="I158" s="41">
        <v>0.12</v>
      </c>
      <c r="J158" s="41">
        <v>36</v>
      </c>
      <c r="K158" s="41">
        <v>3</v>
      </c>
      <c r="L158" s="19">
        <f t="shared" si="36"/>
        <v>0.22</v>
      </c>
      <c r="M158" s="19">
        <f>(J158+K158)*45/10000</f>
        <v>0.18</v>
      </c>
      <c r="N158" s="16" t="s">
        <v>1048</v>
      </c>
      <c r="O158" s="16"/>
    </row>
    <row r="159" s="6" customFormat="1" ht="28" customHeight="1" spans="1:15">
      <c r="A159" s="22">
        <v>47</v>
      </c>
      <c r="B159" s="16" t="s">
        <v>266</v>
      </c>
      <c r="C159" s="16" t="s">
        <v>415</v>
      </c>
      <c r="D159" s="22" t="s">
        <v>1122</v>
      </c>
      <c r="E159" s="64">
        <v>492.8</v>
      </c>
      <c r="F159" s="22" t="s">
        <v>1122</v>
      </c>
      <c r="G159" s="66">
        <v>492.92</v>
      </c>
      <c r="H159" s="16" t="s">
        <v>1047</v>
      </c>
      <c r="I159" s="41">
        <v>0.12</v>
      </c>
      <c r="J159" s="41">
        <v>36</v>
      </c>
      <c r="K159" s="41"/>
      <c r="L159" s="19">
        <f t="shared" si="36"/>
        <v>0.19</v>
      </c>
      <c r="M159" s="19">
        <f t="shared" ref="M159:M162" si="42">J159*45/10000</f>
        <v>0.16</v>
      </c>
      <c r="N159" s="16" t="s">
        <v>1052</v>
      </c>
      <c r="O159" s="16"/>
    </row>
    <row r="160" s="6" customFormat="1" ht="28" customHeight="1" spans="1:15">
      <c r="A160" s="22">
        <v>48</v>
      </c>
      <c r="B160" s="16" t="s">
        <v>266</v>
      </c>
      <c r="C160" s="16" t="s">
        <v>415</v>
      </c>
      <c r="D160" s="22" t="s">
        <v>1123</v>
      </c>
      <c r="E160" s="64">
        <v>493.2</v>
      </c>
      <c r="F160" s="22" t="s">
        <v>1123</v>
      </c>
      <c r="G160" s="66">
        <v>493.32</v>
      </c>
      <c r="H160" s="16" t="s">
        <v>1047</v>
      </c>
      <c r="I160" s="41">
        <v>0.12</v>
      </c>
      <c r="J160" s="41">
        <v>36</v>
      </c>
      <c r="K160" s="41"/>
      <c r="L160" s="19">
        <f t="shared" si="36"/>
        <v>0.19</v>
      </c>
      <c r="M160" s="19">
        <f t="shared" si="42"/>
        <v>0.16</v>
      </c>
      <c r="N160" s="16" t="s">
        <v>1052</v>
      </c>
      <c r="O160" s="16"/>
    </row>
    <row r="161" s="6" customFormat="1" ht="28" customHeight="1" spans="1:15">
      <c r="A161" s="22">
        <v>49</v>
      </c>
      <c r="B161" s="16" t="s">
        <v>266</v>
      </c>
      <c r="C161" s="16" t="s">
        <v>415</v>
      </c>
      <c r="D161" s="22" t="s">
        <v>1124</v>
      </c>
      <c r="E161" s="64">
        <v>495.65</v>
      </c>
      <c r="F161" s="22" t="s">
        <v>1125</v>
      </c>
      <c r="G161" s="66">
        <v>495.77</v>
      </c>
      <c r="H161" s="16" t="s">
        <v>1047</v>
      </c>
      <c r="I161" s="75">
        <v>0.12</v>
      </c>
      <c r="J161" s="75">
        <v>36</v>
      </c>
      <c r="K161" s="75">
        <v>3</v>
      </c>
      <c r="L161" s="19">
        <f t="shared" si="36"/>
        <v>0.22</v>
      </c>
      <c r="M161" s="19">
        <f>(J161+K161)*45/10000</f>
        <v>0.18</v>
      </c>
      <c r="N161" s="16" t="s">
        <v>1048</v>
      </c>
      <c r="O161" s="16"/>
    </row>
    <row r="162" s="6" customFormat="1" ht="28" customHeight="1" spans="1:15">
      <c r="A162" s="22">
        <v>50</v>
      </c>
      <c r="B162" s="16" t="s">
        <v>266</v>
      </c>
      <c r="C162" s="16" t="s">
        <v>415</v>
      </c>
      <c r="D162" s="22" t="s">
        <v>1126</v>
      </c>
      <c r="E162" s="64">
        <v>498</v>
      </c>
      <c r="F162" s="22" t="s">
        <v>1126</v>
      </c>
      <c r="G162" s="66">
        <v>498.12</v>
      </c>
      <c r="H162" s="16" t="s">
        <v>1047</v>
      </c>
      <c r="I162" s="40">
        <v>0.12</v>
      </c>
      <c r="J162" s="40">
        <v>36</v>
      </c>
      <c r="K162" s="40"/>
      <c r="L162" s="19">
        <f t="shared" si="36"/>
        <v>0.19</v>
      </c>
      <c r="M162" s="19">
        <f t="shared" si="42"/>
        <v>0.16</v>
      </c>
      <c r="N162" s="16" t="s">
        <v>1052</v>
      </c>
      <c r="O162" s="16"/>
    </row>
    <row r="163" s="6" customFormat="1" ht="28" customHeight="1" spans="1:15">
      <c r="A163" s="22">
        <v>51</v>
      </c>
      <c r="B163" s="16" t="s">
        <v>266</v>
      </c>
      <c r="C163" s="16" t="s">
        <v>1127</v>
      </c>
      <c r="D163" s="63" t="s">
        <v>1128</v>
      </c>
      <c r="E163" s="64">
        <v>7.8</v>
      </c>
      <c r="F163" s="63" t="s">
        <v>1128</v>
      </c>
      <c r="G163" s="66">
        <v>7.81</v>
      </c>
      <c r="H163" s="16" t="s">
        <v>1047</v>
      </c>
      <c r="I163" s="40">
        <v>0.01</v>
      </c>
      <c r="J163" s="40"/>
      <c r="K163" s="40">
        <v>3</v>
      </c>
      <c r="L163" s="19">
        <f t="shared" si="36"/>
        <v>0.01</v>
      </c>
      <c r="M163" s="19">
        <f>K163*45/10000</f>
        <v>0.01</v>
      </c>
      <c r="N163" s="16" t="s">
        <v>1066</v>
      </c>
      <c r="O163" s="16"/>
    </row>
    <row r="164" s="6" customFormat="1" ht="28" customHeight="1" spans="1:15">
      <c r="A164" s="22">
        <v>52</v>
      </c>
      <c r="B164" s="16" t="s">
        <v>266</v>
      </c>
      <c r="C164" s="16" t="s">
        <v>769</v>
      </c>
      <c r="D164" s="63" t="s">
        <v>1129</v>
      </c>
      <c r="E164" s="64">
        <v>124.25</v>
      </c>
      <c r="F164" s="63" t="s">
        <v>1129</v>
      </c>
      <c r="G164" s="66">
        <v>124.37</v>
      </c>
      <c r="H164" s="16" t="s">
        <v>1047</v>
      </c>
      <c r="I164" s="41">
        <v>0.12</v>
      </c>
      <c r="J164" s="41">
        <v>36</v>
      </c>
      <c r="K164" s="41"/>
      <c r="L164" s="19">
        <f t="shared" si="36"/>
        <v>0.19</v>
      </c>
      <c r="M164" s="19">
        <f t="shared" ref="M164:M178" si="43">J164*45/10000</f>
        <v>0.16</v>
      </c>
      <c r="N164" s="16" t="s">
        <v>1052</v>
      </c>
      <c r="O164" s="16"/>
    </row>
    <row r="165" s="6" customFormat="1" ht="28" customHeight="1" spans="1:15">
      <c r="A165" s="22">
        <v>53</v>
      </c>
      <c r="B165" s="16" t="s">
        <v>266</v>
      </c>
      <c r="C165" s="16" t="s">
        <v>769</v>
      </c>
      <c r="D165" s="63" t="s">
        <v>1129</v>
      </c>
      <c r="E165" s="64">
        <v>126.1</v>
      </c>
      <c r="F165" s="63" t="s">
        <v>1129</v>
      </c>
      <c r="G165" s="66">
        <v>126.22</v>
      </c>
      <c r="H165" s="16" t="s">
        <v>1047</v>
      </c>
      <c r="I165" s="41">
        <v>0.12</v>
      </c>
      <c r="J165" s="41">
        <v>36</v>
      </c>
      <c r="K165" s="41">
        <v>3</v>
      </c>
      <c r="L165" s="19">
        <f t="shared" si="36"/>
        <v>0.22</v>
      </c>
      <c r="M165" s="19">
        <f>(J165+K165)*45/10000</f>
        <v>0.18</v>
      </c>
      <c r="N165" s="16" t="s">
        <v>1048</v>
      </c>
      <c r="O165" s="16"/>
    </row>
    <row r="166" s="6" customFormat="1" ht="28" customHeight="1" spans="1:15">
      <c r="A166" s="22">
        <v>54</v>
      </c>
      <c r="B166" s="16" t="s">
        <v>266</v>
      </c>
      <c r="C166" s="16" t="s">
        <v>769</v>
      </c>
      <c r="D166" s="63" t="s">
        <v>1130</v>
      </c>
      <c r="E166" s="64">
        <v>127.6</v>
      </c>
      <c r="F166" s="63" t="s">
        <v>1130</v>
      </c>
      <c r="G166" s="66">
        <v>127.72</v>
      </c>
      <c r="H166" s="16" t="s">
        <v>1047</v>
      </c>
      <c r="I166" s="41">
        <v>0.12</v>
      </c>
      <c r="J166" s="41">
        <v>36</v>
      </c>
      <c r="K166" s="41"/>
      <c r="L166" s="19">
        <f t="shared" si="36"/>
        <v>0.19</v>
      </c>
      <c r="M166" s="19">
        <f t="shared" si="43"/>
        <v>0.16</v>
      </c>
      <c r="N166" s="16" t="s">
        <v>1052</v>
      </c>
      <c r="O166" s="16"/>
    </row>
    <row r="167" s="6" customFormat="1" ht="28" customHeight="1" spans="1:15">
      <c r="A167" s="22">
        <v>55</v>
      </c>
      <c r="B167" s="16" t="s">
        <v>266</v>
      </c>
      <c r="C167" s="16" t="s">
        <v>769</v>
      </c>
      <c r="D167" s="63" t="s">
        <v>1130</v>
      </c>
      <c r="E167" s="64">
        <v>127.8</v>
      </c>
      <c r="F167" s="63" t="s">
        <v>1130</v>
      </c>
      <c r="G167" s="66">
        <v>127.92</v>
      </c>
      <c r="H167" s="16" t="s">
        <v>1047</v>
      </c>
      <c r="I167" s="41">
        <v>0.12</v>
      </c>
      <c r="J167" s="41">
        <v>36</v>
      </c>
      <c r="K167" s="41"/>
      <c r="L167" s="19">
        <f t="shared" si="36"/>
        <v>0.19</v>
      </c>
      <c r="M167" s="19">
        <f t="shared" si="43"/>
        <v>0.16</v>
      </c>
      <c r="N167" s="16" t="s">
        <v>1052</v>
      </c>
      <c r="O167" s="16"/>
    </row>
    <row r="168" s="6" customFormat="1" ht="28" customHeight="1" spans="1:15">
      <c r="A168" s="22">
        <v>56</v>
      </c>
      <c r="B168" s="16" t="s">
        <v>266</v>
      </c>
      <c r="C168" s="16" t="s">
        <v>769</v>
      </c>
      <c r="D168" s="63" t="s">
        <v>1130</v>
      </c>
      <c r="E168" s="64">
        <v>128</v>
      </c>
      <c r="F168" s="63" t="s">
        <v>1130</v>
      </c>
      <c r="G168" s="66">
        <v>128.12</v>
      </c>
      <c r="H168" s="16" t="s">
        <v>1047</v>
      </c>
      <c r="I168" s="41">
        <v>0.12</v>
      </c>
      <c r="J168" s="41">
        <v>36</v>
      </c>
      <c r="K168" s="41"/>
      <c r="L168" s="19">
        <f t="shared" si="36"/>
        <v>0.19</v>
      </c>
      <c r="M168" s="19">
        <f t="shared" si="43"/>
        <v>0.16</v>
      </c>
      <c r="N168" s="16" t="s">
        <v>1052</v>
      </c>
      <c r="O168" s="16"/>
    </row>
    <row r="169" s="6" customFormat="1" ht="28" customHeight="1" spans="1:15">
      <c r="A169" s="22">
        <v>57</v>
      </c>
      <c r="B169" s="16" t="s">
        <v>266</v>
      </c>
      <c r="C169" s="16" t="s">
        <v>769</v>
      </c>
      <c r="D169" s="63" t="s">
        <v>1130</v>
      </c>
      <c r="E169" s="64">
        <v>128</v>
      </c>
      <c r="F169" s="63" t="s">
        <v>1130</v>
      </c>
      <c r="G169" s="66">
        <v>128.12</v>
      </c>
      <c r="H169" s="16" t="s">
        <v>1047</v>
      </c>
      <c r="I169" s="41">
        <v>0.12</v>
      </c>
      <c r="J169" s="41">
        <v>36</v>
      </c>
      <c r="K169" s="41"/>
      <c r="L169" s="19">
        <f t="shared" si="36"/>
        <v>0.19</v>
      </c>
      <c r="M169" s="19">
        <f t="shared" si="43"/>
        <v>0.16</v>
      </c>
      <c r="N169" s="16" t="s">
        <v>1052</v>
      </c>
      <c r="O169" s="16"/>
    </row>
    <row r="170" s="6" customFormat="1" ht="28" customHeight="1" spans="1:15">
      <c r="A170" s="22">
        <v>58</v>
      </c>
      <c r="B170" s="16" t="s">
        <v>266</v>
      </c>
      <c r="C170" s="16" t="s">
        <v>769</v>
      </c>
      <c r="D170" s="63" t="s">
        <v>1130</v>
      </c>
      <c r="E170" s="64">
        <v>128.55</v>
      </c>
      <c r="F170" s="63" t="s">
        <v>1130</v>
      </c>
      <c r="G170" s="66">
        <v>128.79</v>
      </c>
      <c r="H170" s="16" t="s">
        <v>1047</v>
      </c>
      <c r="I170" s="41">
        <v>0.24</v>
      </c>
      <c r="J170" s="41">
        <v>72</v>
      </c>
      <c r="K170" s="41"/>
      <c r="L170" s="19">
        <f t="shared" si="36"/>
        <v>0.38</v>
      </c>
      <c r="M170" s="19">
        <f t="shared" si="43"/>
        <v>0.32</v>
      </c>
      <c r="N170" s="16" t="s">
        <v>1052</v>
      </c>
      <c r="O170" s="16"/>
    </row>
    <row r="171" s="6" customFormat="1" ht="28" customHeight="1" spans="1:15">
      <c r="A171" s="22">
        <v>59</v>
      </c>
      <c r="B171" s="16" t="s">
        <v>266</v>
      </c>
      <c r="C171" s="16" t="s">
        <v>769</v>
      </c>
      <c r="D171" s="63" t="s">
        <v>1130</v>
      </c>
      <c r="E171" s="64">
        <v>128.55</v>
      </c>
      <c r="F171" s="63" t="s">
        <v>1130</v>
      </c>
      <c r="G171" s="66">
        <v>128.67</v>
      </c>
      <c r="H171" s="16" t="s">
        <v>1047</v>
      </c>
      <c r="I171" s="41">
        <v>0.12</v>
      </c>
      <c r="J171" s="41">
        <v>36</v>
      </c>
      <c r="K171" s="41"/>
      <c r="L171" s="19">
        <f t="shared" si="36"/>
        <v>0.19</v>
      </c>
      <c r="M171" s="19">
        <f t="shared" si="43"/>
        <v>0.16</v>
      </c>
      <c r="N171" s="16" t="s">
        <v>1052</v>
      </c>
      <c r="O171" s="16"/>
    </row>
    <row r="172" s="6" customFormat="1" ht="28" customHeight="1" spans="1:15">
      <c r="A172" s="22">
        <v>60</v>
      </c>
      <c r="B172" s="16" t="s">
        <v>266</v>
      </c>
      <c r="C172" s="16" t="s">
        <v>769</v>
      </c>
      <c r="D172" s="63" t="s">
        <v>1130</v>
      </c>
      <c r="E172" s="64">
        <v>130.7</v>
      </c>
      <c r="F172" s="63" t="s">
        <v>1130</v>
      </c>
      <c r="G172" s="66">
        <v>130.82</v>
      </c>
      <c r="H172" s="16" t="s">
        <v>1047</v>
      </c>
      <c r="I172" s="41">
        <v>0.12</v>
      </c>
      <c r="J172" s="41">
        <v>36</v>
      </c>
      <c r="K172" s="41"/>
      <c r="L172" s="19">
        <f t="shared" si="36"/>
        <v>0.19</v>
      </c>
      <c r="M172" s="19">
        <f t="shared" si="43"/>
        <v>0.16</v>
      </c>
      <c r="N172" s="16" t="s">
        <v>1052</v>
      </c>
      <c r="O172" s="16"/>
    </row>
    <row r="173" s="6" customFormat="1" ht="28" customHeight="1" spans="1:15">
      <c r="A173" s="22">
        <v>61</v>
      </c>
      <c r="B173" s="16" t="s">
        <v>266</v>
      </c>
      <c r="C173" s="16" t="s">
        <v>769</v>
      </c>
      <c r="D173" s="63" t="s">
        <v>1130</v>
      </c>
      <c r="E173" s="64">
        <v>130.7</v>
      </c>
      <c r="F173" s="63" t="s">
        <v>1130</v>
      </c>
      <c r="G173" s="66">
        <v>130.82</v>
      </c>
      <c r="H173" s="16" t="s">
        <v>1047</v>
      </c>
      <c r="I173" s="41">
        <v>0.12</v>
      </c>
      <c r="J173" s="41">
        <v>36</v>
      </c>
      <c r="K173" s="41"/>
      <c r="L173" s="19">
        <f t="shared" si="36"/>
        <v>0.19</v>
      </c>
      <c r="M173" s="19">
        <f t="shared" si="43"/>
        <v>0.16</v>
      </c>
      <c r="N173" s="16" t="s">
        <v>1052</v>
      </c>
      <c r="O173" s="16"/>
    </row>
    <row r="174" s="6" customFormat="1" ht="28" customHeight="1" spans="1:15">
      <c r="A174" s="22">
        <v>62</v>
      </c>
      <c r="B174" s="16" t="s">
        <v>266</v>
      </c>
      <c r="C174" s="16" t="s">
        <v>769</v>
      </c>
      <c r="D174" s="63" t="s">
        <v>1131</v>
      </c>
      <c r="E174" s="64">
        <v>132.65</v>
      </c>
      <c r="F174" s="63" t="s">
        <v>1131</v>
      </c>
      <c r="G174" s="66">
        <v>132.77</v>
      </c>
      <c r="H174" s="16" t="s">
        <v>1047</v>
      </c>
      <c r="I174" s="41">
        <v>0.12</v>
      </c>
      <c r="J174" s="41">
        <v>36</v>
      </c>
      <c r="K174" s="41"/>
      <c r="L174" s="19">
        <f t="shared" si="36"/>
        <v>0.19</v>
      </c>
      <c r="M174" s="19">
        <f t="shared" si="43"/>
        <v>0.16</v>
      </c>
      <c r="N174" s="16" t="s">
        <v>1052</v>
      </c>
      <c r="O174" s="16"/>
    </row>
    <row r="175" s="6" customFormat="1" ht="28" customHeight="1" spans="1:15">
      <c r="A175" s="22">
        <v>63</v>
      </c>
      <c r="B175" s="16" t="s">
        <v>266</v>
      </c>
      <c r="C175" s="16" t="s">
        <v>769</v>
      </c>
      <c r="D175" s="22" t="s">
        <v>1132</v>
      </c>
      <c r="E175" s="64">
        <v>138.6</v>
      </c>
      <c r="F175" s="22" t="s">
        <v>1132</v>
      </c>
      <c r="G175" s="66">
        <v>138.72</v>
      </c>
      <c r="H175" s="16" t="s">
        <v>1047</v>
      </c>
      <c r="I175" s="41">
        <v>0.12</v>
      </c>
      <c r="J175" s="41">
        <v>36</v>
      </c>
      <c r="K175" s="41"/>
      <c r="L175" s="19">
        <f t="shared" si="36"/>
        <v>0.19</v>
      </c>
      <c r="M175" s="19">
        <f t="shared" si="43"/>
        <v>0.16</v>
      </c>
      <c r="N175" s="16" t="s">
        <v>1052</v>
      </c>
      <c r="O175" s="16"/>
    </row>
    <row r="176" s="6" customFormat="1" ht="28" customHeight="1" spans="1:15">
      <c r="A176" s="22">
        <v>64</v>
      </c>
      <c r="B176" s="16" t="s">
        <v>266</v>
      </c>
      <c r="C176" s="16" t="s">
        <v>769</v>
      </c>
      <c r="D176" s="63" t="s">
        <v>1133</v>
      </c>
      <c r="E176" s="64">
        <v>140.6</v>
      </c>
      <c r="F176" s="63" t="s">
        <v>1133</v>
      </c>
      <c r="G176" s="66">
        <v>140.72</v>
      </c>
      <c r="H176" s="20" t="s">
        <v>1047</v>
      </c>
      <c r="I176" s="40">
        <v>0.12</v>
      </c>
      <c r="J176" s="40">
        <v>36</v>
      </c>
      <c r="K176" s="40"/>
      <c r="L176" s="19">
        <f t="shared" si="36"/>
        <v>0.19</v>
      </c>
      <c r="M176" s="19">
        <f t="shared" si="43"/>
        <v>0.16</v>
      </c>
      <c r="N176" s="16" t="s">
        <v>1052</v>
      </c>
      <c r="O176" s="16"/>
    </row>
    <row r="177" s="6" customFormat="1" ht="28" customHeight="1" spans="1:15">
      <c r="A177" s="22">
        <v>65</v>
      </c>
      <c r="B177" s="16" t="s">
        <v>266</v>
      </c>
      <c r="C177" s="16" t="s">
        <v>769</v>
      </c>
      <c r="D177" s="22" t="s">
        <v>1134</v>
      </c>
      <c r="E177" s="64">
        <v>141.8</v>
      </c>
      <c r="F177" s="22" t="s">
        <v>1134</v>
      </c>
      <c r="G177" s="66">
        <v>141.92</v>
      </c>
      <c r="H177" s="16" t="s">
        <v>1047</v>
      </c>
      <c r="I177" s="40">
        <v>0.12</v>
      </c>
      <c r="J177" s="40">
        <v>36</v>
      </c>
      <c r="K177" s="40"/>
      <c r="L177" s="19">
        <f t="shared" ref="L177:L180" si="44">M177*1.2</f>
        <v>0.19</v>
      </c>
      <c r="M177" s="19">
        <f t="shared" si="43"/>
        <v>0.16</v>
      </c>
      <c r="N177" s="16" t="s">
        <v>1052</v>
      </c>
      <c r="O177" s="16"/>
    </row>
    <row r="178" s="6" customFormat="1" ht="28" customHeight="1" spans="1:15">
      <c r="A178" s="22">
        <v>66</v>
      </c>
      <c r="B178" s="16" t="s">
        <v>266</v>
      </c>
      <c r="C178" s="16" t="s">
        <v>769</v>
      </c>
      <c r="D178" s="22" t="s">
        <v>1133</v>
      </c>
      <c r="E178" s="64">
        <v>142.3</v>
      </c>
      <c r="F178" s="22" t="s">
        <v>1133</v>
      </c>
      <c r="G178" s="66">
        <v>142.42</v>
      </c>
      <c r="H178" s="16" t="s">
        <v>1047</v>
      </c>
      <c r="I178" s="41">
        <v>0.12</v>
      </c>
      <c r="J178" s="41">
        <v>36</v>
      </c>
      <c r="K178" s="41"/>
      <c r="L178" s="19">
        <f t="shared" si="44"/>
        <v>0.19</v>
      </c>
      <c r="M178" s="19">
        <f t="shared" si="43"/>
        <v>0.16</v>
      </c>
      <c r="N178" s="16" t="s">
        <v>1052</v>
      </c>
      <c r="O178" s="16"/>
    </row>
    <row r="179" s="6" customFormat="1" ht="28" customHeight="1" spans="1:15">
      <c r="A179" s="22">
        <v>67</v>
      </c>
      <c r="B179" s="16" t="s">
        <v>266</v>
      </c>
      <c r="C179" s="16" t="s">
        <v>769</v>
      </c>
      <c r="D179" s="63" t="s">
        <v>1135</v>
      </c>
      <c r="E179" s="64">
        <v>165</v>
      </c>
      <c r="F179" s="63" t="s">
        <v>1135</v>
      </c>
      <c r="G179" s="66">
        <v>165.12</v>
      </c>
      <c r="H179" s="16" t="s">
        <v>1047</v>
      </c>
      <c r="I179" s="41">
        <v>0.12</v>
      </c>
      <c r="J179" s="41">
        <v>36</v>
      </c>
      <c r="K179" s="41">
        <v>3</v>
      </c>
      <c r="L179" s="19">
        <f t="shared" si="44"/>
        <v>0.22</v>
      </c>
      <c r="M179" s="19">
        <f>(J179+K179)*45/10000</f>
        <v>0.18</v>
      </c>
      <c r="N179" s="16" t="s">
        <v>1048</v>
      </c>
      <c r="O179" s="16"/>
    </row>
    <row r="180" s="6" customFormat="1" ht="28" customHeight="1" spans="1:15">
      <c r="A180" s="22">
        <v>68</v>
      </c>
      <c r="B180" s="20" t="s">
        <v>266</v>
      </c>
      <c r="C180" s="20" t="s">
        <v>446</v>
      </c>
      <c r="D180" s="71" t="s">
        <v>1128</v>
      </c>
      <c r="E180" s="72">
        <v>7.9</v>
      </c>
      <c r="F180" s="71" t="s">
        <v>1128</v>
      </c>
      <c r="G180" s="73">
        <v>8.02</v>
      </c>
      <c r="H180" s="16" t="s">
        <v>1047</v>
      </c>
      <c r="I180" s="41">
        <v>0.12</v>
      </c>
      <c r="J180" s="41">
        <v>36</v>
      </c>
      <c r="K180" s="41">
        <v>3</v>
      </c>
      <c r="L180" s="19">
        <f t="shared" si="44"/>
        <v>0.22</v>
      </c>
      <c r="M180" s="19">
        <f>(J180+K180)*45/10000</f>
        <v>0.18</v>
      </c>
      <c r="N180" s="16" t="s">
        <v>1048</v>
      </c>
      <c r="O180" s="16"/>
    </row>
    <row r="181" s="5" customFormat="1" ht="28" customHeight="1" spans="1:15">
      <c r="A181" s="15" t="s">
        <v>80</v>
      </c>
      <c r="B181" s="15"/>
      <c r="C181" s="15"/>
      <c r="D181" s="15"/>
      <c r="E181" s="15"/>
      <c r="F181" s="15"/>
      <c r="G181" s="15"/>
      <c r="H181" s="15"/>
      <c r="I181" s="38">
        <f t="shared" ref="I181:M181" si="45">SUM(I182:I225)</f>
        <v>10.55</v>
      </c>
      <c r="J181" s="38">
        <f t="shared" si="45"/>
        <v>3165</v>
      </c>
      <c r="K181" s="38">
        <f t="shared" si="45"/>
        <v>0</v>
      </c>
      <c r="L181" s="38">
        <f t="shared" si="45"/>
        <v>17.091</v>
      </c>
      <c r="M181" s="38">
        <f t="shared" si="45"/>
        <v>14.2425</v>
      </c>
      <c r="N181" s="15"/>
      <c r="O181" s="15"/>
    </row>
    <row r="182" s="6" customFormat="1" ht="34" customHeight="1" spans="1:15">
      <c r="A182" s="16">
        <v>1</v>
      </c>
      <c r="B182" s="16" t="s">
        <v>80</v>
      </c>
      <c r="C182" s="40" t="s">
        <v>1136</v>
      </c>
      <c r="D182" s="40" t="s">
        <v>1137</v>
      </c>
      <c r="E182" s="74">
        <v>563950</v>
      </c>
      <c r="F182" s="40" t="s">
        <v>1138</v>
      </c>
      <c r="G182" s="74">
        <v>564150</v>
      </c>
      <c r="H182" s="16" t="s">
        <v>1047</v>
      </c>
      <c r="I182" s="16">
        <v>0.2</v>
      </c>
      <c r="J182" s="16">
        <f t="shared" ref="J182:J225" si="46">I182*300</f>
        <v>60</v>
      </c>
      <c r="K182" s="16"/>
      <c r="L182" s="16">
        <f t="shared" ref="L182:L225" si="47">M182*1.2</f>
        <v>0.324</v>
      </c>
      <c r="M182" s="16">
        <f t="shared" ref="M182:M198" si="48">J182*45/10000</f>
        <v>0.27</v>
      </c>
      <c r="N182" s="19" t="s">
        <v>1139</v>
      </c>
      <c r="O182" s="16"/>
    </row>
    <row r="183" s="6" customFormat="1" ht="34" customHeight="1" spans="1:15">
      <c r="A183" s="16">
        <v>4</v>
      </c>
      <c r="B183" s="16" t="s">
        <v>80</v>
      </c>
      <c r="C183" s="40" t="s">
        <v>1136</v>
      </c>
      <c r="D183" s="40" t="s">
        <v>1140</v>
      </c>
      <c r="E183" s="74">
        <v>553900</v>
      </c>
      <c r="F183" s="40" t="s">
        <v>1140</v>
      </c>
      <c r="G183" s="74">
        <v>554100</v>
      </c>
      <c r="H183" s="16" t="s">
        <v>1047</v>
      </c>
      <c r="I183" s="16">
        <v>0.2</v>
      </c>
      <c r="J183" s="16">
        <f t="shared" si="46"/>
        <v>60</v>
      </c>
      <c r="K183" s="16"/>
      <c r="L183" s="16">
        <f t="shared" si="47"/>
        <v>0.324</v>
      </c>
      <c r="M183" s="16">
        <f t="shared" si="48"/>
        <v>0.27</v>
      </c>
      <c r="N183" s="19" t="s">
        <v>1139</v>
      </c>
      <c r="O183" s="16"/>
    </row>
    <row r="184" s="6" customFormat="1" ht="34" customHeight="1" spans="1:15">
      <c r="A184" s="16">
        <v>5</v>
      </c>
      <c r="B184" s="16" t="s">
        <v>80</v>
      </c>
      <c r="C184" s="40" t="s">
        <v>1136</v>
      </c>
      <c r="D184" s="40" t="s">
        <v>1141</v>
      </c>
      <c r="E184" s="74">
        <v>548100</v>
      </c>
      <c r="F184" s="40" t="s">
        <v>1141</v>
      </c>
      <c r="G184" s="74">
        <v>548300</v>
      </c>
      <c r="H184" s="16" t="s">
        <v>1047</v>
      </c>
      <c r="I184" s="16">
        <v>0.2</v>
      </c>
      <c r="J184" s="16">
        <f t="shared" si="46"/>
        <v>60</v>
      </c>
      <c r="K184" s="16"/>
      <c r="L184" s="16">
        <f t="shared" si="47"/>
        <v>0.324</v>
      </c>
      <c r="M184" s="16">
        <f t="shared" si="48"/>
        <v>0.27</v>
      </c>
      <c r="N184" s="19" t="s">
        <v>1139</v>
      </c>
      <c r="O184" s="16"/>
    </row>
    <row r="185" s="6" customFormat="1" ht="34" customHeight="1" spans="1:15">
      <c r="A185" s="16">
        <v>6</v>
      </c>
      <c r="B185" s="16" t="s">
        <v>80</v>
      </c>
      <c r="C185" s="40" t="s">
        <v>1136</v>
      </c>
      <c r="D185" s="40" t="s">
        <v>1142</v>
      </c>
      <c r="E185" s="74">
        <v>547674</v>
      </c>
      <c r="F185" s="40" t="s">
        <v>1142</v>
      </c>
      <c r="G185" s="74">
        <v>547874</v>
      </c>
      <c r="H185" s="16" t="s">
        <v>1047</v>
      </c>
      <c r="I185" s="16">
        <v>0.2</v>
      </c>
      <c r="J185" s="16">
        <f t="shared" si="46"/>
        <v>60</v>
      </c>
      <c r="K185" s="16"/>
      <c r="L185" s="16">
        <f t="shared" si="47"/>
        <v>0.324</v>
      </c>
      <c r="M185" s="16">
        <f t="shared" si="48"/>
        <v>0.27</v>
      </c>
      <c r="N185" s="19" t="s">
        <v>1139</v>
      </c>
      <c r="O185" s="16"/>
    </row>
    <row r="186" s="6" customFormat="1" ht="34" customHeight="1" spans="1:15">
      <c r="A186" s="16">
        <v>7</v>
      </c>
      <c r="B186" s="16" t="s">
        <v>80</v>
      </c>
      <c r="C186" s="40" t="s">
        <v>1136</v>
      </c>
      <c r="D186" s="40" t="s">
        <v>1142</v>
      </c>
      <c r="E186" s="74">
        <v>547110</v>
      </c>
      <c r="F186" s="40" t="s">
        <v>1142</v>
      </c>
      <c r="G186" s="74">
        <v>547310</v>
      </c>
      <c r="H186" s="16" t="s">
        <v>1047</v>
      </c>
      <c r="I186" s="16">
        <v>0.2</v>
      </c>
      <c r="J186" s="16">
        <f t="shared" si="46"/>
        <v>60</v>
      </c>
      <c r="K186" s="16"/>
      <c r="L186" s="16">
        <f t="shared" si="47"/>
        <v>0.324</v>
      </c>
      <c r="M186" s="16">
        <f t="shared" si="48"/>
        <v>0.27</v>
      </c>
      <c r="N186" s="19" t="s">
        <v>1139</v>
      </c>
      <c r="O186" s="16"/>
    </row>
    <row r="187" s="6" customFormat="1" ht="34" customHeight="1" spans="1:15">
      <c r="A187" s="16">
        <v>8</v>
      </c>
      <c r="B187" s="16" t="s">
        <v>80</v>
      </c>
      <c r="C187" s="40" t="s">
        <v>1136</v>
      </c>
      <c r="D187" s="40" t="s">
        <v>1143</v>
      </c>
      <c r="E187" s="74">
        <v>545175</v>
      </c>
      <c r="F187" s="40" t="s">
        <v>1143</v>
      </c>
      <c r="G187" s="74">
        <v>545375</v>
      </c>
      <c r="H187" s="16" t="s">
        <v>1047</v>
      </c>
      <c r="I187" s="16">
        <v>0.2</v>
      </c>
      <c r="J187" s="16">
        <f t="shared" si="46"/>
        <v>60</v>
      </c>
      <c r="K187" s="16"/>
      <c r="L187" s="16">
        <f t="shared" si="47"/>
        <v>0.324</v>
      </c>
      <c r="M187" s="16">
        <f t="shared" si="48"/>
        <v>0.27</v>
      </c>
      <c r="N187" s="19" t="s">
        <v>1139</v>
      </c>
      <c r="O187" s="16"/>
    </row>
    <row r="188" s="6" customFormat="1" ht="34" customHeight="1" spans="1:15">
      <c r="A188" s="16">
        <v>9</v>
      </c>
      <c r="B188" s="16" t="s">
        <v>80</v>
      </c>
      <c r="C188" s="40" t="s">
        <v>1136</v>
      </c>
      <c r="D188" s="40" t="s">
        <v>1144</v>
      </c>
      <c r="E188" s="74">
        <v>542395</v>
      </c>
      <c r="F188" s="40" t="s">
        <v>1144</v>
      </c>
      <c r="G188" s="74">
        <v>542595</v>
      </c>
      <c r="H188" s="16" t="s">
        <v>1047</v>
      </c>
      <c r="I188" s="16">
        <v>0.2</v>
      </c>
      <c r="J188" s="16">
        <f t="shared" si="46"/>
        <v>60</v>
      </c>
      <c r="K188" s="16"/>
      <c r="L188" s="16">
        <f t="shared" si="47"/>
        <v>0.324</v>
      </c>
      <c r="M188" s="16">
        <f t="shared" si="48"/>
        <v>0.27</v>
      </c>
      <c r="N188" s="19" t="s">
        <v>1139</v>
      </c>
      <c r="O188" s="16"/>
    </row>
    <row r="189" s="6" customFormat="1" ht="34" customHeight="1" spans="1:15">
      <c r="A189" s="16">
        <v>10</v>
      </c>
      <c r="B189" s="16" t="s">
        <v>80</v>
      </c>
      <c r="C189" s="40" t="s">
        <v>1136</v>
      </c>
      <c r="D189" s="40" t="s">
        <v>1144</v>
      </c>
      <c r="E189" s="74">
        <v>542164</v>
      </c>
      <c r="F189" s="40" t="s">
        <v>1144</v>
      </c>
      <c r="G189" s="74">
        <v>542364</v>
      </c>
      <c r="H189" s="16" t="s">
        <v>1047</v>
      </c>
      <c r="I189" s="16">
        <v>0.2</v>
      </c>
      <c r="J189" s="16">
        <f t="shared" si="46"/>
        <v>60</v>
      </c>
      <c r="K189" s="16"/>
      <c r="L189" s="16">
        <f t="shared" si="47"/>
        <v>0.324</v>
      </c>
      <c r="M189" s="16">
        <f t="shared" si="48"/>
        <v>0.27</v>
      </c>
      <c r="N189" s="19" t="s">
        <v>1139</v>
      </c>
      <c r="O189" s="16"/>
    </row>
    <row r="190" s="6" customFormat="1" ht="34" customHeight="1" spans="1:15">
      <c r="A190" s="16">
        <v>11</v>
      </c>
      <c r="B190" s="16" t="s">
        <v>80</v>
      </c>
      <c r="C190" s="40" t="s">
        <v>1136</v>
      </c>
      <c r="D190" s="40" t="s">
        <v>1144</v>
      </c>
      <c r="E190" s="74">
        <v>540776</v>
      </c>
      <c r="F190" s="40" t="s">
        <v>1144</v>
      </c>
      <c r="G190" s="74">
        <v>540976</v>
      </c>
      <c r="H190" s="16" t="s">
        <v>1047</v>
      </c>
      <c r="I190" s="16">
        <v>0.2</v>
      </c>
      <c r="J190" s="16">
        <f t="shared" si="46"/>
        <v>60</v>
      </c>
      <c r="K190" s="16"/>
      <c r="L190" s="16">
        <f t="shared" si="47"/>
        <v>0.324</v>
      </c>
      <c r="M190" s="16">
        <f t="shared" si="48"/>
        <v>0.27</v>
      </c>
      <c r="N190" s="19" t="s">
        <v>1139</v>
      </c>
      <c r="O190" s="16"/>
    </row>
    <row r="191" s="6" customFormat="1" ht="34" customHeight="1" spans="1:15">
      <c r="A191" s="16">
        <v>12</v>
      </c>
      <c r="B191" s="16" t="s">
        <v>80</v>
      </c>
      <c r="C191" s="40" t="s">
        <v>1136</v>
      </c>
      <c r="D191" s="40" t="s">
        <v>1145</v>
      </c>
      <c r="E191" s="74">
        <v>537062</v>
      </c>
      <c r="F191" s="40" t="s">
        <v>1145</v>
      </c>
      <c r="G191" s="74">
        <v>537262</v>
      </c>
      <c r="H191" s="16" t="s">
        <v>1047</v>
      </c>
      <c r="I191" s="16">
        <v>0.2</v>
      </c>
      <c r="J191" s="16">
        <f t="shared" si="46"/>
        <v>60</v>
      </c>
      <c r="K191" s="16"/>
      <c r="L191" s="16">
        <f t="shared" si="47"/>
        <v>0.324</v>
      </c>
      <c r="M191" s="16">
        <f t="shared" si="48"/>
        <v>0.27</v>
      </c>
      <c r="N191" s="19" t="s">
        <v>1139</v>
      </c>
      <c r="O191" s="16"/>
    </row>
    <row r="192" s="6" customFormat="1" ht="34" customHeight="1" spans="1:15">
      <c r="A192" s="16">
        <v>13</v>
      </c>
      <c r="B192" s="16" t="s">
        <v>80</v>
      </c>
      <c r="C192" s="40" t="s">
        <v>1136</v>
      </c>
      <c r="D192" s="40" t="s">
        <v>1145</v>
      </c>
      <c r="E192" s="74">
        <v>536014</v>
      </c>
      <c r="F192" s="40" t="s">
        <v>1145</v>
      </c>
      <c r="G192" s="74">
        <v>536214</v>
      </c>
      <c r="H192" s="16" t="s">
        <v>1047</v>
      </c>
      <c r="I192" s="16">
        <v>0.2</v>
      </c>
      <c r="J192" s="16">
        <f t="shared" si="46"/>
        <v>60</v>
      </c>
      <c r="K192" s="16"/>
      <c r="L192" s="16">
        <f t="shared" si="47"/>
        <v>0.324</v>
      </c>
      <c r="M192" s="16">
        <f t="shared" si="48"/>
        <v>0.27</v>
      </c>
      <c r="N192" s="19" t="s">
        <v>1139</v>
      </c>
      <c r="O192" s="16"/>
    </row>
    <row r="193" s="6" customFormat="1" ht="34" customHeight="1" spans="1:15">
      <c r="A193" s="16">
        <v>14</v>
      </c>
      <c r="B193" s="16" t="s">
        <v>80</v>
      </c>
      <c r="C193" s="40" t="s">
        <v>1136</v>
      </c>
      <c r="D193" s="40" t="s">
        <v>1146</v>
      </c>
      <c r="E193" s="74">
        <v>517246</v>
      </c>
      <c r="F193" s="40" t="s">
        <v>1146</v>
      </c>
      <c r="G193" s="74">
        <v>517646</v>
      </c>
      <c r="H193" s="16" t="s">
        <v>1047</v>
      </c>
      <c r="I193" s="16">
        <v>0.4</v>
      </c>
      <c r="J193" s="16">
        <f t="shared" si="46"/>
        <v>120</v>
      </c>
      <c r="K193" s="16"/>
      <c r="L193" s="16">
        <f t="shared" si="47"/>
        <v>0.648</v>
      </c>
      <c r="M193" s="16">
        <f t="shared" si="48"/>
        <v>0.54</v>
      </c>
      <c r="N193" s="19" t="s">
        <v>1139</v>
      </c>
      <c r="O193" s="16"/>
    </row>
    <row r="194" s="6" customFormat="1" ht="34" customHeight="1" spans="1:15">
      <c r="A194" s="16">
        <v>15</v>
      </c>
      <c r="B194" s="16" t="s">
        <v>80</v>
      </c>
      <c r="C194" s="40" t="s">
        <v>1136</v>
      </c>
      <c r="D194" s="40" t="s">
        <v>1147</v>
      </c>
      <c r="E194" s="74">
        <v>515172</v>
      </c>
      <c r="F194" s="40" t="s">
        <v>1147</v>
      </c>
      <c r="G194" s="74">
        <v>515672</v>
      </c>
      <c r="H194" s="16" t="s">
        <v>1047</v>
      </c>
      <c r="I194" s="16">
        <v>0.5</v>
      </c>
      <c r="J194" s="16">
        <f t="shared" si="46"/>
        <v>150</v>
      </c>
      <c r="K194" s="16"/>
      <c r="L194" s="16">
        <f t="shared" si="47"/>
        <v>0.81</v>
      </c>
      <c r="M194" s="16">
        <f t="shared" si="48"/>
        <v>0.675</v>
      </c>
      <c r="N194" s="19" t="s">
        <v>1139</v>
      </c>
      <c r="O194" s="16"/>
    </row>
    <row r="195" s="6" customFormat="1" ht="34" customHeight="1" spans="1:15">
      <c r="A195" s="16">
        <v>16</v>
      </c>
      <c r="B195" s="16" t="s">
        <v>80</v>
      </c>
      <c r="C195" s="40" t="s">
        <v>1136</v>
      </c>
      <c r="D195" s="40" t="s">
        <v>1148</v>
      </c>
      <c r="E195" s="74">
        <v>510226</v>
      </c>
      <c r="F195" s="40" t="s">
        <v>1148</v>
      </c>
      <c r="G195" s="74">
        <v>510426</v>
      </c>
      <c r="H195" s="16" t="s">
        <v>1047</v>
      </c>
      <c r="I195" s="16">
        <v>0.2</v>
      </c>
      <c r="J195" s="16">
        <f t="shared" si="46"/>
        <v>60</v>
      </c>
      <c r="K195" s="16"/>
      <c r="L195" s="16">
        <f t="shared" si="47"/>
        <v>0.324</v>
      </c>
      <c r="M195" s="16">
        <f t="shared" si="48"/>
        <v>0.27</v>
      </c>
      <c r="N195" s="19" t="s">
        <v>1139</v>
      </c>
      <c r="O195" s="16"/>
    </row>
    <row r="196" s="6" customFormat="1" ht="34" customHeight="1" spans="1:15">
      <c r="A196" s="16">
        <v>17</v>
      </c>
      <c r="B196" s="16" t="s">
        <v>80</v>
      </c>
      <c r="C196" s="40" t="s">
        <v>1136</v>
      </c>
      <c r="D196" s="40" t="s">
        <v>1149</v>
      </c>
      <c r="E196" s="74">
        <v>502936</v>
      </c>
      <c r="F196" s="40" t="s">
        <v>1149</v>
      </c>
      <c r="G196" s="74">
        <v>503136</v>
      </c>
      <c r="H196" s="16" t="s">
        <v>1047</v>
      </c>
      <c r="I196" s="16">
        <v>0.2</v>
      </c>
      <c r="J196" s="16">
        <f t="shared" si="46"/>
        <v>60</v>
      </c>
      <c r="K196" s="16"/>
      <c r="L196" s="16">
        <f t="shared" si="47"/>
        <v>0.324</v>
      </c>
      <c r="M196" s="16">
        <f t="shared" si="48"/>
        <v>0.27</v>
      </c>
      <c r="N196" s="19" t="s">
        <v>1139</v>
      </c>
      <c r="O196" s="16"/>
    </row>
    <row r="197" s="6" customFormat="1" ht="34" customHeight="1" spans="1:15">
      <c r="A197" s="16">
        <v>18</v>
      </c>
      <c r="B197" s="16" t="s">
        <v>80</v>
      </c>
      <c r="C197" s="40" t="s">
        <v>1136</v>
      </c>
      <c r="D197" s="40" t="s">
        <v>1149</v>
      </c>
      <c r="E197" s="74">
        <v>501500</v>
      </c>
      <c r="F197" s="40" t="s">
        <v>1149</v>
      </c>
      <c r="G197" s="74">
        <v>501700</v>
      </c>
      <c r="H197" s="16" t="s">
        <v>1047</v>
      </c>
      <c r="I197" s="16">
        <v>0.2</v>
      </c>
      <c r="J197" s="16">
        <f t="shared" si="46"/>
        <v>60</v>
      </c>
      <c r="K197" s="16"/>
      <c r="L197" s="16">
        <f t="shared" si="47"/>
        <v>0.324</v>
      </c>
      <c r="M197" s="16">
        <f t="shared" si="48"/>
        <v>0.27</v>
      </c>
      <c r="N197" s="19" t="s">
        <v>1139</v>
      </c>
      <c r="O197" s="16"/>
    </row>
    <row r="198" s="6" customFormat="1" ht="34" customHeight="1" spans="1:15">
      <c r="A198" s="16">
        <v>19</v>
      </c>
      <c r="B198" s="16" t="s">
        <v>80</v>
      </c>
      <c r="C198" s="40" t="s">
        <v>1136</v>
      </c>
      <c r="D198" s="40" t="s">
        <v>1150</v>
      </c>
      <c r="E198" s="74">
        <v>498369</v>
      </c>
      <c r="F198" s="40" t="s">
        <v>1150</v>
      </c>
      <c r="G198" s="74">
        <v>498569</v>
      </c>
      <c r="H198" s="16" t="s">
        <v>1047</v>
      </c>
      <c r="I198" s="16">
        <v>0.2</v>
      </c>
      <c r="J198" s="16">
        <f t="shared" si="46"/>
        <v>60</v>
      </c>
      <c r="K198" s="16"/>
      <c r="L198" s="16">
        <f t="shared" si="47"/>
        <v>0.324</v>
      </c>
      <c r="M198" s="16">
        <f t="shared" si="48"/>
        <v>0.27</v>
      </c>
      <c r="N198" s="19" t="s">
        <v>1139</v>
      </c>
      <c r="O198" s="16"/>
    </row>
    <row r="199" s="6" customFormat="1" ht="34" customHeight="1" spans="1:15">
      <c r="A199" s="16">
        <v>20</v>
      </c>
      <c r="B199" s="16" t="s">
        <v>80</v>
      </c>
      <c r="C199" s="40" t="s">
        <v>1136</v>
      </c>
      <c r="D199" s="40" t="s">
        <v>1151</v>
      </c>
      <c r="E199" s="74">
        <v>496000</v>
      </c>
      <c r="F199" s="40" t="s">
        <v>1151</v>
      </c>
      <c r="G199" s="74">
        <v>496200</v>
      </c>
      <c r="H199" s="16" t="s">
        <v>1047</v>
      </c>
      <c r="I199" s="16">
        <v>0.2</v>
      </c>
      <c r="J199" s="16">
        <f t="shared" si="46"/>
        <v>60</v>
      </c>
      <c r="K199" s="16"/>
      <c r="L199" s="16">
        <f t="shared" si="47"/>
        <v>0.324</v>
      </c>
      <c r="M199" s="16">
        <f>(J199+K199)*45/10000</f>
        <v>0.27</v>
      </c>
      <c r="N199" s="19" t="s">
        <v>1139</v>
      </c>
      <c r="O199" s="16"/>
    </row>
    <row r="200" s="6" customFormat="1" ht="34" customHeight="1" spans="1:15">
      <c r="A200" s="16">
        <v>21</v>
      </c>
      <c r="B200" s="16" t="s">
        <v>80</v>
      </c>
      <c r="C200" s="40" t="s">
        <v>1136</v>
      </c>
      <c r="D200" s="40" t="s">
        <v>1152</v>
      </c>
      <c r="E200" s="74">
        <v>488528</v>
      </c>
      <c r="F200" s="40" t="s">
        <v>1152</v>
      </c>
      <c r="G200" s="74">
        <v>488728</v>
      </c>
      <c r="H200" s="16" t="s">
        <v>1047</v>
      </c>
      <c r="I200" s="16">
        <v>0.2</v>
      </c>
      <c r="J200" s="16">
        <f t="shared" si="46"/>
        <v>60</v>
      </c>
      <c r="K200" s="16"/>
      <c r="L200" s="16">
        <f t="shared" si="47"/>
        <v>0.324</v>
      </c>
      <c r="M200" s="16">
        <f t="shared" ref="M200:M225" si="49">J200*45/10000</f>
        <v>0.27</v>
      </c>
      <c r="N200" s="19" t="s">
        <v>1139</v>
      </c>
      <c r="O200" s="16"/>
    </row>
    <row r="201" s="6" customFormat="1" ht="34" customHeight="1" spans="1:15">
      <c r="A201" s="16">
        <v>22</v>
      </c>
      <c r="B201" s="16" t="s">
        <v>80</v>
      </c>
      <c r="C201" s="40" t="s">
        <v>1136</v>
      </c>
      <c r="D201" s="40" t="s">
        <v>1153</v>
      </c>
      <c r="E201" s="74">
        <v>481039</v>
      </c>
      <c r="F201" s="40" t="s">
        <v>1153</v>
      </c>
      <c r="G201" s="74">
        <v>481239</v>
      </c>
      <c r="H201" s="16" t="s">
        <v>1047</v>
      </c>
      <c r="I201" s="16">
        <v>0.2</v>
      </c>
      <c r="J201" s="16">
        <f t="shared" si="46"/>
        <v>60</v>
      </c>
      <c r="K201" s="16"/>
      <c r="L201" s="16">
        <f t="shared" si="47"/>
        <v>0.324</v>
      </c>
      <c r="M201" s="16">
        <f t="shared" si="49"/>
        <v>0.27</v>
      </c>
      <c r="N201" s="19" t="s">
        <v>1139</v>
      </c>
      <c r="O201" s="16"/>
    </row>
    <row r="202" s="6" customFormat="1" ht="34" customHeight="1" spans="1:15">
      <c r="A202" s="16">
        <v>23</v>
      </c>
      <c r="B202" s="16" t="s">
        <v>80</v>
      </c>
      <c r="C202" s="40" t="s">
        <v>1136</v>
      </c>
      <c r="D202" s="40" t="s">
        <v>1154</v>
      </c>
      <c r="E202" s="74">
        <v>477673</v>
      </c>
      <c r="F202" s="40" t="s">
        <v>1154</v>
      </c>
      <c r="G202" s="74">
        <v>477873</v>
      </c>
      <c r="H202" s="16" t="s">
        <v>1047</v>
      </c>
      <c r="I202" s="16">
        <v>0.2</v>
      </c>
      <c r="J202" s="16">
        <f t="shared" si="46"/>
        <v>60</v>
      </c>
      <c r="K202" s="16"/>
      <c r="L202" s="16">
        <f t="shared" si="47"/>
        <v>0.324</v>
      </c>
      <c r="M202" s="16">
        <f t="shared" si="49"/>
        <v>0.27</v>
      </c>
      <c r="N202" s="19" t="s">
        <v>1139</v>
      </c>
      <c r="O202" s="16"/>
    </row>
    <row r="203" s="6" customFormat="1" ht="34" customHeight="1" spans="1:15">
      <c r="A203" s="16">
        <v>24</v>
      </c>
      <c r="B203" s="16" t="s">
        <v>80</v>
      </c>
      <c r="C203" s="40" t="s">
        <v>1136</v>
      </c>
      <c r="D203" s="40" t="s">
        <v>1154</v>
      </c>
      <c r="E203" s="74">
        <v>475600</v>
      </c>
      <c r="F203" s="40" t="s">
        <v>1154</v>
      </c>
      <c r="G203" s="74">
        <v>475800</v>
      </c>
      <c r="H203" s="16" t="s">
        <v>1047</v>
      </c>
      <c r="I203" s="16">
        <v>0.2</v>
      </c>
      <c r="J203" s="16">
        <f t="shared" si="46"/>
        <v>60</v>
      </c>
      <c r="K203" s="16"/>
      <c r="L203" s="16">
        <f t="shared" si="47"/>
        <v>0.324</v>
      </c>
      <c r="M203" s="16">
        <f t="shared" si="49"/>
        <v>0.27</v>
      </c>
      <c r="N203" s="19" t="s">
        <v>1139</v>
      </c>
      <c r="O203" s="16"/>
    </row>
    <row r="204" s="6" customFormat="1" ht="34" customHeight="1" spans="1:15">
      <c r="A204" s="16">
        <v>25</v>
      </c>
      <c r="B204" s="16" t="s">
        <v>80</v>
      </c>
      <c r="C204" s="40" t="s">
        <v>1136</v>
      </c>
      <c r="D204" s="40" t="s">
        <v>1155</v>
      </c>
      <c r="E204" s="74">
        <v>471046</v>
      </c>
      <c r="F204" s="40" t="s">
        <v>1155</v>
      </c>
      <c r="G204" s="74">
        <v>471246</v>
      </c>
      <c r="H204" s="16" t="s">
        <v>1047</v>
      </c>
      <c r="I204" s="16">
        <v>0.2</v>
      </c>
      <c r="J204" s="16">
        <f t="shared" si="46"/>
        <v>60</v>
      </c>
      <c r="K204" s="16"/>
      <c r="L204" s="16">
        <f t="shared" si="47"/>
        <v>0.324</v>
      </c>
      <c r="M204" s="16">
        <f t="shared" si="49"/>
        <v>0.27</v>
      </c>
      <c r="N204" s="19" t="s">
        <v>1139</v>
      </c>
      <c r="O204" s="16"/>
    </row>
    <row r="205" s="6" customFormat="1" ht="34" customHeight="1" spans="1:15">
      <c r="A205" s="16">
        <v>26</v>
      </c>
      <c r="B205" s="16" t="s">
        <v>80</v>
      </c>
      <c r="C205" s="40" t="s">
        <v>1136</v>
      </c>
      <c r="D205" s="40" t="s">
        <v>1156</v>
      </c>
      <c r="E205" s="74">
        <v>469986</v>
      </c>
      <c r="F205" s="40" t="s">
        <v>1156</v>
      </c>
      <c r="G205" s="74">
        <v>470186</v>
      </c>
      <c r="H205" s="16" t="s">
        <v>1047</v>
      </c>
      <c r="I205" s="16">
        <v>0.2</v>
      </c>
      <c r="J205" s="16">
        <f t="shared" si="46"/>
        <v>60</v>
      </c>
      <c r="K205" s="16"/>
      <c r="L205" s="16">
        <f t="shared" si="47"/>
        <v>0.324</v>
      </c>
      <c r="M205" s="16">
        <f t="shared" si="49"/>
        <v>0.27</v>
      </c>
      <c r="N205" s="19" t="s">
        <v>1139</v>
      </c>
      <c r="O205" s="16"/>
    </row>
    <row r="206" s="6" customFormat="1" ht="34" customHeight="1" spans="1:15">
      <c r="A206" s="16">
        <v>27</v>
      </c>
      <c r="B206" s="16" t="s">
        <v>80</v>
      </c>
      <c r="C206" s="40" t="s">
        <v>1157</v>
      </c>
      <c r="D206" s="40" t="s">
        <v>1158</v>
      </c>
      <c r="E206" s="74">
        <v>460820</v>
      </c>
      <c r="F206" s="40" t="s">
        <v>1159</v>
      </c>
      <c r="G206" s="74">
        <v>461020</v>
      </c>
      <c r="H206" s="16" t="s">
        <v>1047</v>
      </c>
      <c r="I206" s="16">
        <v>0.2</v>
      </c>
      <c r="J206" s="16">
        <f t="shared" si="46"/>
        <v>60</v>
      </c>
      <c r="K206" s="16"/>
      <c r="L206" s="16">
        <f t="shared" si="47"/>
        <v>0.324</v>
      </c>
      <c r="M206" s="16">
        <f t="shared" si="49"/>
        <v>0.27</v>
      </c>
      <c r="N206" s="19" t="s">
        <v>1139</v>
      </c>
      <c r="O206" s="16"/>
    </row>
    <row r="207" s="6" customFormat="1" ht="34" customHeight="1" spans="1:15">
      <c r="A207" s="16">
        <v>28</v>
      </c>
      <c r="B207" s="16" t="s">
        <v>80</v>
      </c>
      <c r="C207" s="40" t="s">
        <v>1157</v>
      </c>
      <c r="D207" s="40" t="s">
        <v>1160</v>
      </c>
      <c r="E207" s="74">
        <v>440620</v>
      </c>
      <c r="F207" s="40" t="s">
        <v>1160</v>
      </c>
      <c r="G207" s="74">
        <v>440820</v>
      </c>
      <c r="H207" s="16" t="s">
        <v>1047</v>
      </c>
      <c r="I207" s="16">
        <v>0.2</v>
      </c>
      <c r="J207" s="16">
        <f t="shared" si="46"/>
        <v>60</v>
      </c>
      <c r="K207" s="16"/>
      <c r="L207" s="16">
        <f t="shared" si="47"/>
        <v>0.324</v>
      </c>
      <c r="M207" s="16">
        <f t="shared" si="49"/>
        <v>0.27</v>
      </c>
      <c r="N207" s="19" t="s">
        <v>1139</v>
      </c>
      <c r="O207" s="16"/>
    </row>
    <row r="208" s="6" customFormat="1" ht="34" customHeight="1" spans="1:15">
      <c r="A208" s="16">
        <v>29</v>
      </c>
      <c r="B208" s="16" t="s">
        <v>80</v>
      </c>
      <c r="C208" s="40" t="s">
        <v>1157</v>
      </c>
      <c r="D208" s="40" t="s">
        <v>1161</v>
      </c>
      <c r="E208" s="74">
        <v>438371</v>
      </c>
      <c r="F208" s="40" t="s">
        <v>1161</v>
      </c>
      <c r="G208" s="74">
        <v>438571</v>
      </c>
      <c r="H208" s="16" t="s">
        <v>1047</v>
      </c>
      <c r="I208" s="16">
        <v>0.2</v>
      </c>
      <c r="J208" s="16">
        <f t="shared" si="46"/>
        <v>60</v>
      </c>
      <c r="K208" s="16"/>
      <c r="L208" s="16">
        <f t="shared" si="47"/>
        <v>0.324</v>
      </c>
      <c r="M208" s="16">
        <f t="shared" si="49"/>
        <v>0.27</v>
      </c>
      <c r="N208" s="19" t="s">
        <v>1139</v>
      </c>
      <c r="O208" s="16"/>
    </row>
    <row r="209" s="6" customFormat="1" ht="34" customHeight="1" spans="1:15">
      <c r="A209" s="16">
        <v>30</v>
      </c>
      <c r="B209" s="16" t="s">
        <v>80</v>
      </c>
      <c r="C209" s="40" t="s">
        <v>1157</v>
      </c>
      <c r="D209" s="40" t="s">
        <v>1161</v>
      </c>
      <c r="E209" s="74">
        <v>435100</v>
      </c>
      <c r="F209" s="40" t="s">
        <v>1161</v>
      </c>
      <c r="G209" s="74">
        <v>435300</v>
      </c>
      <c r="H209" s="16" t="s">
        <v>1047</v>
      </c>
      <c r="I209" s="16">
        <v>0.2</v>
      </c>
      <c r="J209" s="16">
        <f t="shared" si="46"/>
        <v>60</v>
      </c>
      <c r="K209" s="16"/>
      <c r="L209" s="16">
        <f t="shared" si="47"/>
        <v>0.324</v>
      </c>
      <c r="M209" s="16">
        <f t="shared" si="49"/>
        <v>0.27</v>
      </c>
      <c r="N209" s="19" t="s">
        <v>1139</v>
      </c>
      <c r="O209" s="16"/>
    </row>
    <row r="210" s="6" customFormat="1" ht="34" customHeight="1" spans="1:15">
      <c r="A210" s="16">
        <v>31</v>
      </c>
      <c r="B210" s="16" t="s">
        <v>80</v>
      </c>
      <c r="C210" s="40" t="s">
        <v>1157</v>
      </c>
      <c r="D210" s="40" t="s">
        <v>1162</v>
      </c>
      <c r="E210" s="74">
        <v>434135</v>
      </c>
      <c r="F210" s="40" t="s">
        <v>1162</v>
      </c>
      <c r="G210" s="74">
        <v>434335</v>
      </c>
      <c r="H210" s="16" t="s">
        <v>1047</v>
      </c>
      <c r="I210" s="16">
        <v>0.2</v>
      </c>
      <c r="J210" s="16">
        <f t="shared" si="46"/>
        <v>60</v>
      </c>
      <c r="K210" s="16"/>
      <c r="L210" s="16">
        <f t="shared" si="47"/>
        <v>0.324</v>
      </c>
      <c r="M210" s="16">
        <f t="shared" si="49"/>
        <v>0.27</v>
      </c>
      <c r="N210" s="19" t="s">
        <v>1139</v>
      </c>
      <c r="O210" s="16"/>
    </row>
    <row r="211" s="6" customFormat="1" ht="34" customHeight="1" spans="1:15">
      <c r="A211" s="16">
        <v>32</v>
      </c>
      <c r="B211" s="16" t="s">
        <v>80</v>
      </c>
      <c r="C211" s="40" t="s">
        <v>1157</v>
      </c>
      <c r="D211" s="40" t="s">
        <v>1163</v>
      </c>
      <c r="E211" s="74">
        <v>432040</v>
      </c>
      <c r="F211" s="40" t="s">
        <v>1163</v>
      </c>
      <c r="G211" s="74">
        <v>432240</v>
      </c>
      <c r="H211" s="16" t="s">
        <v>1047</v>
      </c>
      <c r="I211" s="16">
        <v>0.2</v>
      </c>
      <c r="J211" s="16">
        <f t="shared" si="46"/>
        <v>60</v>
      </c>
      <c r="K211" s="16"/>
      <c r="L211" s="16">
        <f t="shared" si="47"/>
        <v>0.324</v>
      </c>
      <c r="M211" s="16">
        <f t="shared" si="49"/>
        <v>0.27</v>
      </c>
      <c r="N211" s="19" t="s">
        <v>1139</v>
      </c>
      <c r="O211" s="16"/>
    </row>
    <row r="212" s="6" customFormat="1" ht="34" customHeight="1" spans="1:15">
      <c r="A212" s="16">
        <v>33</v>
      </c>
      <c r="B212" s="16" t="s">
        <v>80</v>
      </c>
      <c r="C212" s="40" t="s">
        <v>1157</v>
      </c>
      <c r="D212" s="40" t="s">
        <v>1163</v>
      </c>
      <c r="E212" s="74">
        <v>431000</v>
      </c>
      <c r="F212" s="40" t="s">
        <v>1163</v>
      </c>
      <c r="G212" s="74">
        <v>431200</v>
      </c>
      <c r="H212" s="16" t="s">
        <v>1047</v>
      </c>
      <c r="I212" s="16">
        <v>0.2</v>
      </c>
      <c r="J212" s="16">
        <f t="shared" si="46"/>
        <v>60</v>
      </c>
      <c r="K212" s="16"/>
      <c r="L212" s="16">
        <f t="shared" si="47"/>
        <v>0.324</v>
      </c>
      <c r="M212" s="16">
        <f t="shared" si="49"/>
        <v>0.27</v>
      </c>
      <c r="N212" s="19" t="s">
        <v>1139</v>
      </c>
      <c r="O212" s="16"/>
    </row>
    <row r="213" s="6" customFormat="1" ht="34" customHeight="1" spans="1:15">
      <c r="A213" s="16">
        <v>34</v>
      </c>
      <c r="B213" s="16" t="s">
        <v>80</v>
      </c>
      <c r="C213" s="40" t="s">
        <v>1157</v>
      </c>
      <c r="D213" s="40" t="s">
        <v>1164</v>
      </c>
      <c r="E213" s="74">
        <v>429500</v>
      </c>
      <c r="F213" s="40" t="s">
        <v>1164</v>
      </c>
      <c r="G213" s="74">
        <v>429700</v>
      </c>
      <c r="H213" s="16" t="s">
        <v>1047</v>
      </c>
      <c r="I213" s="16">
        <v>0.2</v>
      </c>
      <c r="J213" s="16">
        <f t="shared" si="46"/>
        <v>60</v>
      </c>
      <c r="K213" s="16"/>
      <c r="L213" s="16">
        <f t="shared" si="47"/>
        <v>0.324</v>
      </c>
      <c r="M213" s="16">
        <f t="shared" si="49"/>
        <v>0.27</v>
      </c>
      <c r="N213" s="19" t="s">
        <v>1139</v>
      </c>
      <c r="O213" s="16"/>
    </row>
    <row r="214" s="6" customFormat="1" ht="34" customHeight="1" spans="1:15">
      <c r="A214" s="16">
        <v>35</v>
      </c>
      <c r="B214" s="16" t="s">
        <v>80</v>
      </c>
      <c r="C214" s="40" t="s">
        <v>1157</v>
      </c>
      <c r="D214" s="40" t="s">
        <v>1164</v>
      </c>
      <c r="E214" s="74">
        <v>428282</v>
      </c>
      <c r="F214" s="40" t="s">
        <v>1164</v>
      </c>
      <c r="G214" s="74">
        <v>428482</v>
      </c>
      <c r="H214" s="16" t="s">
        <v>1047</v>
      </c>
      <c r="I214" s="16">
        <v>0.2</v>
      </c>
      <c r="J214" s="16">
        <f t="shared" si="46"/>
        <v>60</v>
      </c>
      <c r="K214" s="16"/>
      <c r="L214" s="16">
        <f t="shared" si="47"/>
        <v>0.324</v>
      </c>
      <c r="M214" s="16">
        <f t="shared" si="49"/>
        <v>0.27</v>
      </c>
      <c r="N214" s="19" t="s">
        <v>1139</v>
      </c>
      <c r="O214" s="16"/>
    </row>
    <row r="215" s="6" customFormat="1" ht="34" customHeight="1" spans="1:15">
      <c r="A215" s="16">
        <v>36</v>
      </c>
      <c r="B215" s="16" t="s">
        <v>80</v>
      </c>
      <c r="C215" s="40" t="s">
        <v>1157</v>
      </c>
      <c r="D215" s="40" t="s">
        <v>1165</v>
      </c>
      <c r="E215" s="74">
        <v>423900</v>
      </c>
      <c r="F215" s="40" t="s">
        <v>1165</v>
      </c>
      <c r="G215" s="74">
        <v>424100</v>
      </c>
      <c r="H215" s="16" t="s">
        <v>1047</v>
      </c>
      <c r="I215" s="16">
        <v>0.2</v>
      </c>
      <c r="J215" s="16">
        <f t="shared" si="46"/>
        <v>60</v>
      </c>
      <c r="K215" s="16"/>
      <c r="L215" s="16">
        <f t="shared" si="47"/>
        <v>0.324</v>
      </c>
      <c r="M215" s="16">
        <f t="shared" si="49"/>
        <v>0.27</v>
      </c>
      <c r="N215" s="19" t="s">
        <v>1139</v>
      </c>
      <c r="O215" s="16"/>
    </row>
    <row r="216" s="6" customFormat="1" ht="34" customHeight="1" spans="1:15">
      <c r="A216" s="16">
        <v>37</v>
      </c>
      <c r="B216" s="16" t="s">
        <v>80</v>
      </c>
      <c r="C216" s="40" t="s">
        <v>1166</v>
      </c>
      <c r="D216" s="40" t="s">
        <v>1167</v>
      </c>
      <c r="E216" s="74">
        <v>572348</v>
      </c>
      <c r="F216" s="40" t="s">
        <v>1167</v>
      </c>
      <c r="G216" s="74">
        <v>572748</v>
      </c>
      <c r="H216" s="16" t="s">
        <v>1047</v>
      </c>
      <c r="I216" s="16">
        <v>0.4</v>
      </c>
      <c r="J216" s="16">
        <f t="shared" si="46"/>
        <v>120</v>
      </c>
      <c r="K216" s="16"/>
      <c r="L216" s="16">
        <f t="shared" si="47"/>
        <v>0.648</v>
      </c>
      <c r="M216" s="16">
        <f t="shared" si="49"/>
        <v>0.54</v>
      </c>
      <c r="N216" s="19" t="s">
        <v>1139</v>
      </c>
      <c r="O216" s="16"/>
    </row>
    <row r="217" s="6" customFormat="1" ht="34" customHeight="1" spans="1:15">
      <c r="A217" s="16">
        <v>38</v>
      </c>
      <c r="B217" s="16" t="s">
        <v>80</v>
      </c>
      <c r="C217" s="40" t="s">
        <v>1166</v>
      </c>
      <c r="D217" s="40" t="s">
        <v>1167</v>
      </c>
      <c r="E217" s="74">
        <v>572696</v>
      </c>
      <c r="F217" s="40" t="s">
        <v>1167</v>
      </c>
      <c r="G217" s="74">
        <v>573046</v>
      </c>
      <c r="H217" s="16" t="s">
        <v>1047</v>
      </c>
      <c r="I217" s="16">
        <v>0.35</v>
      </c>
      <c r="J217" s="16">
        <f t="shared" si="46"/>
        <v>105</v>
      </c>
      <c r="K217" s="16"/>
      <c r="L217" s="16">
        <f t="shared" si="47"/>
        <v>0.567</v>
      </c>
      <c r="M217" s="16">
        <f t="shared" si="49"/>
        <v>0.4725</v>
      </c>
      <c r="N217" s="19" t="s">
        <v>1139</v>
      </c>
      <c r="O217" s="16"/>
    </row>
    <row r="218" s="6" customFormat="1" ht="34" customHeight="1" spans="1:15">
      <c r="A218" s="16">
        <v>39</v>
      </c>
      <c r="B218" s="16" t="s">
        <v>80</v>
      </c>
      <c r="C218" s="40" t="s">
        <v>1166</v>
      </c>
      <c r="D218" s="40" t="s">
        <v>1167</v>
      </c>
      <c r="E218" s="74">
        <v>573260</v>
      </c>
      <c r="F218" s="40" t="s">
        <v>1167</v>
      </c>
      <c r="G218" s="74">
        <v>573560</v>
      </c>
      <c r="H218" s="16" t="s">
        <v>1047</v>
      </c>
      <c r="I218" s="16">
        <v>0.3</v>
      </c>
      <c r="J218" s="16">
        <f t="shared" si="46"/>
        <v>90</v>
      </c>
      <c r="K218" s="16"/>
      <c r="L218" s="16">
        <f t="shared" si="47"/>
        <v>0.486</v>
      </c>
      <c r="M218" s="16">
        <f t="shared" si="49"/>
        <v>0.405</v>
      </c>
      <c r="N218" s="19" t="s">
        <v>1139</v>
      </c>
      <c r="O218" s="16"/>
    </row>
    <row r="219" s="6" customFormat="1" ht="34" customHeight="1" spans="1:15">
      <c r="A219" s="16">
        <v>40</v>
      </c>
      <c r="B219" s="16" t="s">
        <v>80</v>
      </c>
      <c r="C219" s="40" t="s">
        <v>1166</v>
      </c>
      <c r="D219" s="40" t="s">
        <v>1167</v>
      </c>
      <c r="E219" s="74">
        <v>574118</v>
      </c>
      <c r="F219" s="40" t="s">
        <v>1167</v>
      </c>
      <c r="G219" s="74">
        <v>574518</v>
      </c>
      <c r="H219" s="16" t="s">
        <v>1047</v>
      </c>
      <c r="I219" s="16">
        <v>0.4</v>
      </c>
      <c r="J219" s="16">
        <f t="shared" si="46"/>
        <v>120</v>
      </c>
      <c r="K219" s="16"/>
      <c r="L219" s="16">
        <f t="shared" si="47"/>
        <v>0.648</v>
      </c>
      <c r="M219" s="16">
        <f t="shared" si="49"/>
        <v>0.54</v>
      </c>
      <c r="N219" s="19" t="s">
        <v>1139</v>
      </c>
      <c r="O219" s="16"/>
    </row>
    <row r="220" s="6" customFormat="1" ht="34" customHeight="1" spans="1:15">
      <c r="A220" s="16">
        <v>41</v>
      </c>
      <c r="B220" s="16" t="s">
        <v>80</v>
      </c>
      <c r="C220" s="40" t="s">
        <v>1166</v>
      </c>
      <c r="D220" s="40" t="s">
        <v>1167</v>
      </c>
      <c r="E220" s="74">
        <v>574888</v>
      </c>
      <c r="F220" s="40" t="s">
        <v>1167</v>
      </c>
      <c r="G220" s="74">
        <v>575088</v>
      </c>
      <c r="H220" s="16" t="s">
        <v>1047</v>
      </c>
      <c r="I220" s="16">
        <v>0.2</v>
      </c>
      <c r="J220" s="16">
        <f t="shared" si="46"/>
        <v>60</v>
      </c>
      <c r="K220" s="16"/>
      <c r="L220" s="16">
        <f t="shared" si="47"/>
        <v>0.324</v>
      </c>
      <c r="M220" s="16">
        <f t="shared" si="49"/>
        <v>0.27</v>
      </c>
      <c r="N220" s="19" t="s">
        <v>1139</v>
      </c>
      <c r="O220" s="16"/>
    </row>
    <row r="221" s="6" customFormat="1" ht="34" customHeight="1" spans="1:15">
      <c r="A221" s="16">
        <v>42</v>
      </c>
      <c r="B221" s="16" t="s">
        <v>80</v>
      </c>
      <c r="C221" s="40" t="s">
        <v>1166</v>
      </c>
      <c r="D221" s="40" t="s">
        <v>1167</v>
      </c>
      <c r="E221" s="74">
        <v>575166</v>
      </c>
      <c r="F221" s="40" t="s">
        <v>1167</v>
      </c>
      <c r="G221" s="74">
        <v>575366</v>
      </c>
      <c r="H221" s="16" t="s">
        <v>1047</v>
      </c>
      <c r="I221" s="16">
        <v>0.2</v>
      </c>
      <c r="J221" s="16">
        <f t="shared" si="46"/>
        <v>60</v>
      </c>
      <c r="K221" s="16"/>
      <c r="L221" s="16">
        <f t="shared" si="47"/>
        <v>0.324</v>
      </c>
      <c r="M221" s="16">
        <f t="shared" si="49"/>
        <v>0.27</v>
      </c>
      <c r="N221" s="19" t="s">
        <v>1139</v>
      </c>
      <c r="O221" s="16"/>
    </row>
    <row r="222" s="6" customFormat="1" ht="34" customHeight="1" spans="1:15">
      <c r="A222" s="16">
        <v>43</v>
      </c>
      <c r="B222" s="16" t="s">
        <v>80</v>
      </c>
      <c r="C222" s="40" t="s">
        <v>1166</v>
      </c>
      <c r="D222" s="40" t="s">
        <v>1168</v>
      </c>
      <c r="E222" s="74">
        <v>575474</v>
      </c>
      <c r="F222" s="40" t="s">
        <v>1168</v>
      </c>
      <c r="G222" s="74">
        <v>575674</v>
      </c>
      <c r="H222" s="16" t="s">
        <v>1047</v>
      </c>
      <c r="I222" s="16">
        <v>0.2</v>
      </c>
      <c r="J222" s="16">
        <f t="shared" si="46"/>
        <v>60</v>
      </c>
      <c r="K222" s="16"/>
      <c r="L222" s="16">
        <f t="shared" si="47"/>
        <v>0.324</v>
      </c>
      <c r="M222" s="16">
        <f t="shared" si="49"/>
        <v>0.27</v>
      </c>
      <c r="N222" s="19" t="s">
        <v>1139</v>
      </c>
      <c r="O222" s="16"/>
    </row>
    <row r="223" s="6" customFormat="1" ht="34" customHeight="1" spans="1:15">
      <c r="A223" s="16">
        <v>44</v>
      </c>
      <c r="B223" s="16" t="s">
        <v>80</v>
      </c>
      <c r="C223" s="40" t="s">
        <v>1166</v>
      </c>
      <c r="D223" s="40" t="s">
        <v>1169</v>
      </c>
      <c r="E223" s="74">
        <v>576320</v>
      </c>
      <c r="F223" s="40" t="s">
        <v>1169</v>
      </c>
      <c r="G223" s="74">
        <v>576720</v>
      </c>
      <c r="H223" s="16" t="s">
        <v>1047</v>
      </c>
      <c r="I223" s="16">
        <v>0.4</v>
      </c>
      <c r="J223" s="16">
        <f t="shared" si="46"/>
        <v>120</v>
      </c>
      <c r="K223" s="16"/>
      <c r="L223" s="16">
        <f t="shared" si="47"/>
        <v>0.648</v>
      </c>
      <c r="M223" s="16">
        <f t="shared" si="49"/>
        <v>0.54</v>
      </c>
      <c r="N223" s="19" t="s">
        <v>1139</v>
      </c>
      <c r="O223" s="16"/>
    </row>
    <row r="224" s="6" customFormat="1" ht="34" customHeight="1" spans="1:15">
      <c r="A224" s="16">
        <v>45</v>
      </c>
      <c r="B224" s="16" t="s">
        <v>80</v>
      </c>
      <c r="C224" s="40" t="s">
        <v>1166</v>
      </c>
      <c r="D224" s="40" t="s">
        <v>1169</v>
      </c>
      <c r="E224" s="74">
        <v>578300</v>
      </c>
      <c r="F224" s="40" t="s">
        <v>1169</v>
      </c>
      <c r="G224" s="74">
        <v>578700</v>
      </c>
      <c r="H224" s="16" t="s">
        <v>1047</v>
      </c>
      <c r="I224" s="16">
        <v>0.4</v>
      </c>
      <c r="J224" s="16">
        <f t="shared" si="46"/>
        <v>120</v>
      </c>
      <c r="K224" s="16"/>
      <c r="L224" s="16">
        <f t="shared" si="47"/>
        <v>0.648</v>
      </c>
      <c r="M224" s="16">
        <f t="shared" si="49"/>
        <v>0.54</v>
      </c>
      <c r="N224" s="19" t="s">
        <v>1139</v>
      </c>
      <c r="O224" s="16"/>
    </row>
    <row r="225" s="6" customFormat="1" ht="34" customHeight="1" spans="1:15">
      <c r="A225" s="20">
        <v>46</v>
      </c>
      <c r="B225" s="20" t="s">
        <v>80</v>
      </c>
      <c r="C225" s="61" t="s">
        <v>1166</v>
      </c>
      <c r="D225" s="61" t="s">
        <v>1169</v>
      </c>
      <c r="E225" s="76">
        <v>579400</v>
      </c>
      <c r="F225" s="61" t="s">
        <v>1169</v>
      </c>
      <c r="G225" s="76">
        <v>579800</v>
      </c>
      <c r="H225" s="16" t="s">
        <v>1047</v>
      </c>
      <c r="I225" s="16">
        <v>0.4</v>
      </c>
      <c r="J225" s="16">
        <f t="shared" si="46"/>
        <v>120</v>
      </c>
      <c r="K225" s="16"/>
      <c r="L225" s="16">
        <f t="shared" si="47"/>
        <v>0.648</v>
      </c>
      <c r="M225" s="16">
        <f t="shared" si="49"/>
        <v>0.54</v>
      </c>
      <c r="N225" s="19" t="s">
        <v>1139</v>
      </c>
      <c r="O225" s="16"/>
    </row>
    <row r="226" s="5" customFormat="1" ht="40" customHeight="1" spans="1:15">
      <c r="A226" s="15" t="s">
        <v>238</v>
      </c>
      <c r="B226" s="15"/>
      <c r="C226" s="15"/>
      <c r="D226" s="15"/>
      <c r="E226" s="15"/>
      <c r="F226" s="15"/>
      <c r="G226" s="15"/>
      <c r="H226" s="15"/>
      <c r="I226" s="15">
        <f t="shared" ref="I226:M226" si="50">SUM(I227:I282)</f>
        <v>6.42</v>
      </c>
      <c r="J226" s="15">
        <f t="shared" si="50"/>
        <v>1488</v>
      </c>
      <c r="K226" s="15">
        <f t="shared" si="50"/>
        <v>219</v>
      </c>
      <c r="L226" s="15">
        <f t="shared" si="50"/>
        <v>9.2178</v>
      </c>
      <c r="M226" s="15">
        <f t="shared" si="50"/>
        <v>7.6815</v>
      </c>
      <c r="N226" s="77"/>
      <c r="O226" s="15"/>
    </row>
    <row r="227" s="6" customFormat="1" ht="24" spans="1:15">
      <c r="A227" s="16">
        <v>1</v>
      </c>
      <c r="B227" s="16" t="s">
        <v>238</v>
      </c>
      <c r="C227" s="16" t="s">
        <v>1157</v>
      </c>
      <c r="D227" s="16"/>
      <c r="E227" s="16" t="s">
        <v>1170</v>
      </c>
      <c r="F227" s="16"/>
      <c r="G227" s="16" t="s">
        <v>1171</v>
      </c>
      <c r="H227" s="16" t="s">
        <v>1047</v>
      </c>
      <c r="I227" s="16">
        <v>0.2</v>
      </c>
      <c r="J227" s="16">
        <v>60</v>
      </c>
      <c r="K227" s="16"/>
      <c r="L227" s="16">
        <f t="shared" ref="L227:L282" si="51">M227*1.2</f>
        <v>0.324</v>
      </c>
      <c r="M227" s="16">
        <f t="shared" ref="M227:M267" si="52">J227*45/10000</f>
        <v>0.27</v>
      </c>
      <c r="N227" s="16" t="s">
        <v>1052</v>
      </c>
      <c r="O227" s="16"/>
    </row>
    <row r="228" s="6" customFormat="1" ht="24" spans="1:15">
      <c r="A228" s="16">
        <v>2</v>
      </c>
      <c r="B228" s="16" t="s">
        <v>238</v>
      </c>
      <c r="C228" s="16" t="s">
        <v>1157</v>
      </c>
      <c r="D228" s="16"/>
      <c r="E228" s="16" t="s">
        <v>1172</v>
      </c>
      <c r="F228" s="16"/>
      <c r="G228" s="16" t="s">
        <v>1173</v>
      </c>
      <c r="H228" s="16" t="s">
        <v>1047</v>
      </c>
      <c r="I228" s="16">
        <v>0.15</v>
      </c>
      <c r="J228" s="16">
        <v>45</v>
      </c>
      <c r="K228" s="16"/>
      <c r="L228" s="16">
        <f t="shared" si="51"/>
        <v>0.243</v>
      </c>
      <c r="M228" s="16">
        <f t="shared" si="52"/>
        <v>0.2025</v>
      </c>
      <c r="N228" s="16" t="s">
        <v>1052</v>
      </c>
      <c r="O228" s="16"/>
    </row>
    <row r="229" s="6" customFormat="1" ht="24" spans="1:15">
      <c r="A229" s="16">
        <v>3</v>
      </c>
      <c r="B229" s="16" t="s">
        <v>238</v>
      </c>
      <c r="C229" s="16" t="s">
        <v>1157</v>
      </c>
      <c r="D229" s="16"/>
      <c r="E229" s="16" t="s">
        <v>1174</v>
      </c>
      <c r="F229" s="16"/>
      <c r="G229" s="16" t="s">
        <v>1175</v>
      </c>
      <c r="H229" s="16" t="s">
        <v>1047</v>
      </c>
      <c r="I229" s="16">
        <v>0.1</v>
      </c>
      <c r="J229" s="16">
        <v>30</v>
      </c>
      <c r="K229" s="16"/>
      <c r="L229" s="16">
        <f t="shared" si="51"/>
        <v>0.162</v>
      </c>
      <c r="M229" s="16">
        <f t="shared" si="52"/>
        <v>0.135</v>
      </c>
      <c r="N229" s="16" t="s">
        <v>1052</v>
      </c>
      <c r="O229" s="16"/>
    </row>
    <row r="230" s="6" customFormat="1" ht="24" spans="1:15">
      <c r="A230" s="16">
        <v>4</v>
      </c>
      <c r="B230" s="16" t="s">
        <v>238</v>
      </c>
      <c r="C230" s="16" t="s">
        <v>1157</v>
      </c>
      <c r="D230" s="16"/>
      <c r="E230" s="16" t="s">
        <v>1176</v>
      </c>
      <c r="F230" s="16"/>
      <c r="G230" s="16" t="s">
        <v>1177</v>
      </c>
      <c r="H230" s="16" t="s">
        <v>1047</v>
      </c>
      <c r="I230" s="16">
        <v>0.13</v>
      </c>
      <c r="J230" s="16">
        <v>39</v>
      </c>
      <c r="K230" s="16"/>
      <c r="L230" s="16">
        <f t="shared" si="51"/>
        <v>0.2106</v>
      </c>
      <c r="M230" s="16">
        <f t="shared" si="52"/>
        <v>0.1755</v>
      </c>
      <c r="N230" s="16" t="s">
        <v>1052</v>
      </c>
      <c r="O230" s="16"/>
    </row>
    <row r="231" s="6" customFormat="1" ht="24" spans="1:15">
      <c r="A231" s="16">
        <v>5</v>
      </c>
      <c r="B231" s="16" t="s">
        <v>238</v>
      </c>
      <c r="C231" s="16" t="s">
        <v>1157</v>
      </c>
      <c r="D231" s="16"/>
      <c r="E231" s="16" t="s">
        <v>1178</v>
      </c>
      <c r="F231" s="16"/>
      <c r="G231" s="16" t="s">
        <v>1179</v>
      </c>
      <c r="H231" s="16" t="s">
        <v>1047</v>
      </c>
      <c r="I231" s="16">
        <v>0.15</v>
      </c>
      <c r="J231" s="16">
        <v>45</v>
      </c>
      <c r="K231" s="16"/>
      <c r="L231" s="16">
        <f t="shared" si="51"/>
        <v>0.243</v>
      </c>
      <c r="M231" s="16">
        <f t="shared" si="52"/>
        <v>0.2025</v>
      </c>
      <c r="N231" s="16" t="s">
        <v>1052</v>
      </c>
      <c r="O231" s="16"/>
    </row>
    <row r="232" s="6" customFormat="1" ht="24" spans="1:15">
      <c r="A232" s="16">
        <v>6</v>
      </c>
      <c r="B232" s="16" t="s">
        <v>238</v>
      </c>
      <c r="C232" s="16" t="s">
        <v>1157</v>
      </c>
      <c r="D232" s="16"/>
      <c r="E232" s="16" t="s">
        <v>1180</v>
      </c>
      <c r="F232" s="16"/>
      <c r="G232" s="16" t="s">
        <v>1181</v>
      </c>
      <c r="H232" s="16" t="s">
        <v>1047</v>
      </c>
      <c r="I232" s="16">
        <v>0.1</v>
      </c>
      <c r="J232" s="16">
        <v>30</v>
      </c>
      <c r="K232" s="16"/>
      <c r="L232" s="16">
        <f t="shared" si="51"/>
        <v>0.162</v>
      </c>
      <c r="M232" s="16">
        <f t="shared" si="52"/>
        <v>0.135</v>
      </c>
      <c r="N232" s="16" t="s">
        <v>1052</v>
      </c>
      <c r="O232" s="16"/>
    </row>
    <row r="233" s="6" customFormat="1" ht="24" spans="1:15">
      <c r="A233" s="16">
        <v>7</v>
      </c>
      <c r="B233" s="16" t="s">
        <v>238</v>
      </c>
      <c r="C233" s="16" t="s">
        <v>1157</v>
      </c>
      <c r="D233" s="16"/>
      <c r="E233" s="16" t="s">
        <v>1182</v>
      </c>
      <c r="F233" s="16"/>
      <c r="G233" s="16" t="s">
        <v>1183</v>
      </c>
      <c r="H233" s="16" t="s">
        <v>1047</v>
      </c>
      <c r="I233" s="16">
        <v>0.13</v>
      </c>
      <c r="J233" s="16">
        <v>39</v>
      </c>
      <c r="K233" s="16"/>
      <c r="L233" s="16">
        <f t="shared" si="51"/>
        <v>0.2106</v>
      </c>
      <c r="M233" s="16">
        <f t="shared" si="52"/>
        <v>0.1755</v>
      </c>
      <c r="N233" s="16" t="s">
        <v>1052</v>
      </c>
      <c r="O233" s="16"/>
    </row>
    <row r="234" s="6" customFormat="1" ht="24" spans="1:15">
      <c r="A234" s="16">
        <v>8</v>
      </c>
      <c r="B234" s="16" t="s">
        <v>238</v>
      </c>
      <c r="C234" s="16" t="s">
        <v>1157</v>
      </c>
      <c r="D234" s="16"/>
      <c r="E234" s="16" t="s">
        <v>1184</v>
      </c>
      <c r="F234" s="16"/>
      <c r="G234" s="16" t="s">
        <v>1185</v>
      </c>
      <c r="H234" s="16" t="s">
        <v>1047</v>
      </c>
      <c r="I234" s="16">
        <v>0.1</v>
      </c>
      <c r="J234" s="16">
        <v>30</v>
      </c>
      <c r="K234" s="16"/>
      <c r="L234" s="16">
        <f t="shared" si="51"/>
        <v>0.162</v>
      </c>
      <c r="M234" s="16">
        <f t="shared" si="52"/>
        <v>0.135</v>
      </c>
      <c r="N234" s="16" t="s">
        <v>1052</v>
      </c>
      <c r="O234" s="16"/>
    </row>
    <row r="235" s="6" customFormat="1" ht="24" spans="1:15">
      <c r="A235" s="16">
        <v>9</v>
      </c>
      <c r="B235" s="16" t="s">
        <v>238</v>
      </c>
      <c r="C235" s="16" t="s">
        <v>1157</v>
      </c>
      <c r="D235" s="16"/>
      <c r="E235" s="16" t="s">
        <v>1186</v>
      </c>
      <c r="F235" s="16"/>
      <c r="G235" s="16" t="s">
        <v>1187</v>
      </c>
      <c r="H235" s="16" t="s">
        <v>1047</v>
      </c>
      <c r="I235" s="16">
        <v>0.1</v>
      </c>
      <c r="J235" s="16">
        <v>30</v>
      </c>
      <c r="K235" s="16"/>
      <c r="L235" s="16">
        <f t="shared" si="51"/>
        <v>0.162</v>
      </c>
      <c r="M235" s="16">
        <f t="shared" si="52"/>
        <v>0.135</v>
      </c>
      <c r="N235" s="16" t="s">
        <v>1052</v>
      </c>
      <c r="O235" s="16"/>
    </row>
    <row r="236" s="6" customFormat="1" ht="24" spans="1:15">
      <c r="A236" s="16">
        <v>10</v>
      </c>
      <c r="B236" s="16" t="s">
        <v>238</v>
      </c>
      <c r="C236" s="16" t="s">
        <v>1157</v>
      </c>
      <c r="D236" s="16"/>
      <c r="E236" s="16" t="s">
        <v>1188</v>
      </c>
      <c r="F236" s="16"/>
      <c r="G236" s="16" t="s">
        <v>1189</v>
      </c>
      <c r="H236" s="16" t="s">
        <v>1047</v>
      </c>
      <c r="I236" s="16">
        <v>0.15</v>
      </c>
      <c r="J236" s="16">
        <v>45</v>
      </c>
      <c r="K236" s="16"/>
      <c r="L236" s="16">
        <f t="shared" si="51"/>
        <v>0.243</v>
      </c>
      <c r="M236" s="16">
        <f t="shared" si="52"/>
        <v>0.2025</v>
      </c>
      <c r="N236" s="16" t="s">
        <v>1052</v>
      </c>
      <c r="O236" s="16"/>
    </row>
    <row r="237" s="6" customFormat="1" ht="24" spans="1:15">
      <c r="A237" s="16">
        <v>11</v>
      </c>
      <c r="B237" s="16" t="s">
        <v>238</v>
      </c>
      <c r="C237" s="16" t="s">
        <v>1157</v>
      </c>
      <c r="D237" s="16"/>
      <c r="E237" s="16" t="s">
        <v>1190</v>
      </c>
      <c r="F237" s="16"/>
      <c r="G237" s="16" t="s">
        <v>1191</v>
      </c>
      <c r="H237" s="16" t="s">
        <v>1047</v>
      </c>
      <c r="I237" s="16">
        <v>0.1</v>
      </c>
      <c r="J237" s="16">
        <v>30</v>
      </c>
      <c r="K237" s="16"/>
      <c r="L237" s="16">
        <f t="shared" si="51"/>
        <v>0.162</v>
      </c>
      <c r="M237" s="16">
        <f t="shared" si="52"/>
        <v>0.135</v>
      </c>
      <c r="N237" s="16" t="s">
        <v>1052</v>
      </c>
      <c r="O237" s="16"/>
    </row>
    <row r="238" s="6" customFormat="1" ht="24" spans="1:15">
      <c r="A238" s="16">
        <v>12</v>
      </c>
      <c r="B238" s="16" t="s">
        <v>238</v>
      </c>
      <c r="C238" s="16" t="s">
        <v>1157</v>
      </c>
      <c r="D238" s="16"/>
      <c r="E238" s="16" t="s">
        <v>1192</v>
      </c>
      <c r="F238" s="16"/>
      <c r="G238" s="16" t="s">
        <v>1193</v>
      </c>
      <c r="H238" s="16" t="s">
        <v>1047</v>
      </c>
      <c r="I238" s="16">
        <v>0.1</v>
      </c>
      <c r="J238" s="16">
        <v>30</v>
      </c>
      <c r="K238" s="16"/>
      <c r="L238" s="16">
        <f t="shared" si="51"/>
        <v>0.162</v>
      </c>
      <c r="M238" s="16">
        <f t="shared" si="52"/>
        <v>0.135</v>
      </c>
      <c r="N238" s="16" t="s">
        <v>1052</v>
      </c>
      <c r="O238" s="16"/>
    </row>
    <row r="239" s="6" customFormat="1" ht="24" spans="1:15">
      <c r="A239" s="16">
        <v>13</v>
      </c>
      <c r="B239" s="16" t="s">
        <v>238</v>
      </c>
      <c r="C239" s="16" t="s">
        <v>1157</v>
      </c>
      <c r="D239" s="16"/>
      <c r="E239" s="16" t="s">
        <v>1194</v>
      </c>
      <c r="F239" s="16"/>
      <c r="G239" s="16" t="s">
        <v>1195</v>
      </c>
      <c r="H239" s="16" t="s">
        <v>1047</v>
      </c>
      <c r="I239" s="16">
        <v>0.1</v>
      </c>
      <c r="J239" s="16">
        <v>30</v>
      </c>
      <c r="K239" s="16"/>
      <c r="L239" s="16">
        <f t="shared" si="51"/>
        <v>0.162</v>
      </c>
      <c r="M239" s="16">
        <f t="shared" si="52"/>
        <v>0.135</v>
      </c>
      <c r="N239" s="16" t="s">
        <v>1052</v>
      </c>
      <c r="O239" s="16"/>
    </row>
    <row r="240" s="6" customFormat="1" ht="24" spans="1:15">
      <c r="A240" s="16">
        <v>14</v>
      </c>
      <c r="B240" s="16" t="s">
        <v>238</v>
      </c>
      <c r="C240" s="16" t="s">
        <v>1157</v>
      </c>
      <c r="D240" s="16"/>
      <c r="E240" s="16" t="s">
        <v>1196</v>
      </c>
      <c r="F240" s="16"/>
      <c r="G240" s="16" t="s">
        <v>1197</v>
      </c>
      <c r="H240" s="16" t="s">
        <v>1047</v>
      </c>
      <c r="I240" s="16">
        <v>0.1</v>
      </c>
      <c r="J240" s="16">
        <v>30</v>
      </c>
      <c r="K240" s="16"/>
      <c r="L240" s="16">
        <f t="shared" si="51"/>
        <v>0.162</v>
      </c>
      <c r="M240" s="16">
        <f t="shared" si="52"/>
        <v>0.135</v>
      </c>
      <c r="N240" s="16" t="s">
        <v>1052</v>
      </c>
      <c r="O240" s="16"/>
    </row>
    <row r="241" s="6" customFormat="1" ht="24" spans="1:15">
      <c r="A241" s="16">
        <v>15</v>
      </c>
      <c r="B241" s="16" t="s">
        <v>238</v>
      </c>
      <c r="C241" s="16" t="s">
        <v>1157</v>
      </c>
      <c r="D241" s="16"/>
      <c r="E241" s="16" t="s">
        <v>1198</v>
      </c>
      <c r="F241" s="16"/>
      <c r="G241" s="16" t="s">
        <v>1199</v>
      </c>
      <c r="H241" s="16" t="s">
        <v>1047</v>
      </c>
      <c r="I241" s="16">
        <v>0.1</v>
      </c>
      <c r="J241" s="16">
        <v>30</v>
      </c>
      <c r="K241" s="16"/>
      <c r="L241" s="16">
        <f t="shared" si="51"/>
        <v>0.162</v>
      </c>
      <c r="M241" s="16">
        <f t="shared" si="52"/>
        <v>0.135</v>
      </c>
      <c r="N241" s="16" t="s">
        <v>1052</v>
      </c>
      <c r="O241" s="16"/>
    </row>
    <row r="242" s="6" customFormat="1" ht="24" spans="1:15">
      <c r="A242" s="16">
        <v>16</v>
      </c>
      <c r="B242" s="16" t="s">
        <v>238</v>
      </c>
      <c r="C242" s="16" t="s">
        <v>1157</v>
      </c>
      <c r="D242" s="16"/>
      <c r="E242" s="16" t="s">
        <v>1200</v>
      </c>
      <c r="F242" s="16"/>
      <c r="G242" s="16" t="s">
        <v>1201</v>
      </c>
      <c r="H242" s="16" t="s">
        <v>1047</v>
      </c>
      <c r="I242" s="16">
        <v>0.15</v>
      </c>
      <c r="J242" s="16">
        <v>45</v>
      </c>
      <c r="K242" s="16"/>
      <c r="L242" s="16">
        <f t="shared" si="51"/>
        <v>0.243</v>
      </c>
      <c r="M242" s="16">
        <f t="shared" si="52"/>
        <v>0.2025</v>
      </c>
      <c r="N242" s="16" t="s">
        <v>1052</v>
      </c>
      <c r="O242" s="16"/>
    </row>
    <row r="243" s="6" customFormat="1" ht="24" spans="1:15">
      <c r="A243" s="16">
        <v>17</v>
      </c>
      <c r="B243" s="16" t="s">
        <v>238</v>
      </c>
      <c r="C243" s="16" t="s">
        <v>1157</v>
      </c>
      <c r="D243" s="16"/>
      <c r="E243" s="16" t="s">
        <v>1202</v>
      </c>
      <c r="F243" s="16"/>
      <c r="G243" s="16" t="s">
        <v>1203</v>
      </c>
      <c r="H243" s="16" t="s">
        <v>1047</v>
      </c>
      <c r="I243" s="16">
        <v>0.1</v>
      </c>
      <c r="J243" s="16">
        <v>30</v>
      </c>
      <c r="K243" s="16"/>
      <c r="L243" s="16">
        <f t="shared" si="51"/>
        <v>0.162</v>
      </c>
      <c r="M243" s="16">
        <f t="shared" si="52"/>
        <v>0.135</v>
      </c>
      <c r="N243" s="16" t="s">
        <v>1052</v>
      </c>
      <c r="O243" s="16"/>
    </row>
    <row r="244" s="6" customFormat="1" ht="24" spans="1:15">
      <c r="A244" s="16">
        <v>19</v>
      </c>
      <c r="B244" s="16" t="s">
        <v>238</v>
      </c>
      <c r="C244" s="16" t="s">
        <v>1204</v>
      </c>
      <c r="D244" s="16"/>
      <c r="E244" s="16" t="s">
        <v>1205</v>
      </c>
      <c r="F244" s="16"/>
      <c r="G244" s="16" t="s">
        <v>1206</v>
      </c>
      <c r="H244" s="16" t="s">
        <v>1047</v>
      </c>
      <c r="I244" s="16">
        <v>0.15</v>
      </c>
      <c r="J244" s="16">
        <v>45</v>
      </c>
      <c r="K244" s="16"/>
      <c r="L244" s="16">
        <f t="shared" si="51"/>
        <v>0.243</v>
      </c>
      <c r="M244" s="16">
        <f t="shared" si="52"/>
        <v>0.2025</v>
      </c>
      <c r="N244" s="16" t="s">
        <v>1052</v>
      </c>
      <c r="O244" s="16"/>
    </row>
    <row r="245" s="6" customFormat="1" ht="24" spans="1:15">
      <c r="A245" s="16">
        <v>21</v>
      </c>
      <c r="B245" s="16" t="s">
        <v>238</v>
      </c>
      <c r="C245" s="16" t="s">
        <v>1204</v>
      </c>
      <c r="D245" s="16"/>
      <c r="E245" s="16" t="s">
        <v>1207</v>
      </c>
      <c r="F245" s="16"/>
      <c r="G245" s="16" t="s">
        <v>1208</v>
      </c>
      <c r="H245" s="16" t="s">
        <v>1047</v>
      </c>
      <c r="I245" s="16">
        <v>0.15</v>
      </c>
      <c r="J245" s="16">
        <v>45</v>
      </c>
      <c r="K245" s="16"/>
      <c r="L245" s="16">
        <f t="shared" si="51"/>
        <v>0.243</v>
      </c>
      <c r="M245" s="16">
        <f t="shared" si="52"/>
        <v>0.2025</v>
      </c>
      <c r="N245" s="16" t="s">
        <v>1052</v>
      </c>
      <c r="O245" s="16"/>
    </row>
    <row r="246" s="6" customFormat="1" ht="25" customHeight="1" spans="1:15">
      <c r="A246" s="16">
        <v>23</v>
      </c>
      <c r="B246" s="16" t="s">
        <v>238</v>
      </c>
      <c r="C246" s="16" t="s">
        <v>1204</v>
      </c>
      <c r="D246" s="16"/>
      <c r="E246" s="16" t="s">
        <v>1209</v>
      </c>
      <c r="F246" s="16"/>
      <c r="G246" s="16" t="s">
        <v>1210</v>
      </c>
      <c r="H246" s="16" t="s">
        <v>1047</v>
      </c>
      <c r="I246" s="16">
        <v>0.15</v>
      </c>
      <c r="J246" s="16">
        <v>45</v>
      </c>
      <c r="K246" s="16"/>
      <c r="L246" s="16">
        <f t="shared" si="51"/>
        <v>0.243</v>
      </c>
      <c r="M246" s="16">
        <f t="shared" si="52"/>
        <v>0.2025</v>
      </c>
      <c r="N246" s="16" t="s">
        <v>1052</v>
      </c>
      <c r="O246" s="16"/>
    </row>
    <row r="247" s="6" customFormat="1" ht="24" spans="1:15">
      <c r="A247" s="16">
        <v>25</v>
      </c>
      <c r="B247" s="16" t="s">
        <v>238</v>
      </c>
      <c r="C247" s="16" t="s">
        <v>1204</v>
      </c>
      <c r="D247" s="16"/>
      <c r="E247" s="16" t="s">
        <v>1211</v>
      </c>
      <c r="F247" s="16"/>
      <c r="G247" s="16" t="s">
        <v>1212</v>
      </c>
      <c r="H247" s="16" t="s">
        <v>1047</v>
      </c>
      <c r="I247" s="16">
        <v>0.1</v>
      </c>
      <c r="J247" s="16">
        <v>30</v>
      </c>
      <c r="K247" s="16"/>
      <c r="L247" s="16">
        <f t="shared" si="51"/>
        <v>0.162</v>
      </c>
      <c r="M247" s="16">
        <f t="shared" si="52"/>
        <v>0.135</v>
      </c>
      <c r="N247" s="16" t="s">
        <v>1052</v>
      </c>
      <c r="O247" s="16"/>
    </row>
    <row r="248" s="6" customFormat="1" ht="24" spans="1:15">
      <c r="A248" s="16">
        <v>27</v>
      </c>
      <c r="B248" s="16" t="s">
        <v>238</v>
      </c>
      <c r="C248" s="16" t="s">
        <v>1204</v>
      </c>
      <c r="D248" s="16"/>
      <c r="E248" s="16" t="s">
        <v>1213</v>
      </c>
      <c r="F248" s="16"/>
      <c r="G248" s="16" t="s">
        <v>1214</v>
      </c>
      <c r="H248" s="16" t="s">
        <v>1047</v>
      </c>
      <c r="I248" s="16">
        <v>0.1</v>
      </c>
      <c r="J248" s="16">
        <v>30</v>
      </c>
      <c r="K248" s="16"/>
      <c r="L248" s="16">
        <f t="shared" si="51"/>
        <v>0.162</v>
      </c>
      <c r="M248" s="16">
        <f t="shared" si="52"/>
        <v>0.135</v>
      </c>
      <c r="N248" s="16" t="s">
        <v>1052</v>
      </c>
      <c r="O248" s="16"/>
    </row>
    <row r="249" s="6" customFormat="1" ht="24" spans="1:15">
      <c r="A249" s="16">
        <v>29</v>
      </c>
      <c r="B249" s="16" t="s">
        <v>238</v>
      </c>
      <c r="C249" s="16" t="s">
        <v>1204</v>
      </c>
      <c r="D249" s="16"/>
      <c r="E249" s="16" t="s">
        <v>1215</v>
      </c>
      <c r="F249" s="16"/>
      <c r="G249" s="16" t="s">
        <v>1216</v>
      </c>
      <c r="H249" s="16" t="s">
        <v>1047</v>
      </c>
      <c r="I249" s="16">
        <v>0.1</v>
      </c>
      <c r="J249" s="16">
        <v>30</v>
      </c>
      <c r="K249" s="16"/>
      <c r="L249" s="16">
        <f t="shared" si="51"/>
        <v>0.162</v>
      </c>
      <c r="M249" s="16">
        <f t="shared" si="52"/>
        <v>0.135</v>
      </c>
      <c r="N249" s="16" t="s">
        <v>1052</v>
      </c>
      <c r="O249" s="16"/>
    </row>
    <row r="250" s="6" customFormat="1" ht="24" spans="1:15">
      <c r="A250" s="16">
        <v>31</v>
      </c>
      <c r="B250" s="16" t="s">
        <v>238</v>
      </c>
      <c r="C250" s="16" t="s">
        <v>1204</v>
      </c>
      <c r="D250" s="16"/>
      <c r="E250" s="16" t="s">
        <v>1217</v>
      </c>
      <c r="F250" s="16"/>
      <c r="G250" s="16" t="s">
        <v>1218</v>
      </c>
      <c r="H250" s="16" t="s">
        <v>1047</v>
      </c>
      <c r="I250" s="16">
        <v>0.1</v>
      </c>
      <c r="J250" s="16">
        <v>30</v>
      </c>
      <c r="K250" s="16"/>
      <c r="L250" s="16">
        <f t="shared" si="51"/>
        <v>0.162</v>
      </c>
      <c r="M250" s="16">
        <f t="shared" si="52"/>
        <v>0.135</v>
      </c>
      <c r="N250" s="16" t="s">
        <v>1052</v>
      </c>
      <c r="O250" s="16"/>
    </row>
    <row r="251" s="6" customFormat="1" ht="24" spans="1:15">
      <c r="A251" s="16">
        <v>33</v>
      </c>
      <c r="B251" s="16" t="s">
        <v>238</v>
      </c>
      <c r="C251" s="16" t="s">
        <v>1204</v>
      </c>
      <c r="D251" s="16"/>
      <c r="E251" s="16" t="s">
        <v>1219</v>
      </c>
      <c r="F251" s="16"/>
      <c r="G251" s="16" t="s">
        <v>1220</v>
      </c>
      <c r="H251" s="16" t="s">
        <v>1047</v>
      </c>
      <c r="I251" s="16">
        <v>0.15</v>
      </c>
      <c r="J251" s="16">
        <v>45</v>
      </c>
      <c r="K251" s="16"/>
      <c r="L251" s="16">
        <f t="shared" si="51"/>
        <v>0.243</v>
      </c>
      <c r="M251" s="16">
        <f t="shared" si="52"/>
        <v>0.2025</v>
      </c>
      <c r="N251" s="16" t="s">
        <v>1052</v>
      </c>
      <c r="O251" s="16"/>
    </row>
    <row r="252" s="6" customFormat="1" ht="24" spans="1:15">
      <c r="A252" s="16">
        <v>35</v>
      </c>
      <c r="B252" s="16" t="s">
        <v>238</v>
      </c>
      <c r="C252" s="16" t="s">
        <v>1204</v>
      </c>
      <c r="D252" s="16"/>
      <c r="E252" s="16" t="s">
        <v>1221</v>
      </c>
      <c r="F252" s="16"/>
      <c r="G252" s="16" t="s">
        <v>1222</v>
      </c>
      <c r="H252" s="16" t="s">
        <v>1047</v>
      </c>
      <c r="I252" s="16">
        <v>0.1</v>
      </c>
      <c r="J252" s="16">
        <v>30</v>
      </c>
      <c r="K252" s="16"/>
      <c r="L252" s="16">
        <f t="shared" si="51"/>
        <v>0.162</v>
      </c>
      <c r="M252" s="16">
        <f t="shared" si="52"/>
        <v>0.135</v>
      </c>
      <c r="N252" s="16" t="s">
        <v>1052</v>
      </c>
      <c r="O252" s="16"/>
    </row>
    <row r="253" s="6" customFormat="1" ht="24" spans="1:15">
      <c r="A253" s="16">
        <v>37</v>
      </c>
      <c r="B253" s="16" t="s">
        <v>238</v>
      </c>
      <c r="C253" s="16" t="s">
        <v>1204</v>
      </c>
      <c r="D253" s="16"/>
      <c r="E253" s="16" t="s">
        <v>1223</v>
      </c>
      <c r="F253" s="16"/>
      <c r="G253" s="16" t="s">
        <v>1224</v>
      </c>
      <c r="H253" s="16" t="s">
        <v>1047</v>
      </c>
      <c r="I253" s="16">
        <v>0.1</v>
      </c>
      <c r="J253" s="16">
        <v>30</v>
      </c>
      <c r="K253" s="16"/>
      <c r="L253" s="16">
        <f t="shared" si="51"/>
        <v>0.162</v>
      </c>
      <c r="M253" s="16">
        <f t="shared" si="52"/>
        <v>0.135</v>
      </c>
      <c r="N253" s="16" t="s">
        <v>1052</v>
      </c>
      <c r="O253" s="16"/>
    </row>
    <row r="254" s="6" customFormat="1" ht="24" spans="1:15">
      <c r="A254" s="16">
        <v>39</v>
      </c>
      <c r="B254" s="16" t="s">
        <v>238</v>
      </c>
      <c r="C254" s="16" t="s">
        <v>1204</v>
      </c>
      <c r="D254" s="16"/>
      <c r="E254" s="16" t="s">
        <v>1225</v>
      </c>
      <c r="F254" s="16"/>
      <c r="G254" s="16" t="s">
        <v>1226</v>
      </c>
      <c r="H254" s="16" t="s">
        <v>1047</v>
      </c>
      <c r="I254" s="16">
        <v>0.1</v>
      </c>
      <c r="J254" s="16">
        <v>30</v>
      </c>
      <c r="K254" s="16"/>
      <c r="L254" s="16">
        <f t="shared" si="51"/>
        <v>0.162</v>
      </c>
      <c r="M254" s="16">
        <f t="shared" si="52"/>
        <v>0.135</v>
      </c>
      <c r="N254" s="16" t="s">
        <v>1052</v>
      </c>
      <c r="O254" s="16"/>
    </row>
    <row r="255" s="6" customFormat="1" ht="24" spans="1:15">
      <c r="A255" s="16">
        <v>41</v>
      </c>
      <c r="B255" s="16" t="s">
        <v>238</v>
      </c>
      <c r="C255" s="16" t="s">
        <v>1227</v>
      </c>
      <c r="D255" s="16"/>
      <c r="E255" s="16" t="s">
        <v>1228</v>
      </c>
      <c r="F255" s="16"/>
      <c r="G255" s="16" t="s">
        <v>1229</v>
      </c>
      <c r="H255" s="16" t="s">
        <v>1047</v>
      </c>
      <c r="I255" s="16">
        <v>0.1</v>
      </c>
      <c r="J255" s="16">
        <v>30</v>
      </c>
      <c r="K255" s="16"/>
      <c r="L255" s="16">
        <f t="shared" si="51"/>
        <v>0.162</v>
      </c>
      <c r="M255" s="16">
        <f t="shared" si="52"/>
        <v>0.135</v>
      </c>
      <c r="N255" s="16" t="s">
        <v>1052</v>
      </c>
      <c r="O255" s="16"/>
    </row>
    <row r="256" s="6" customFormat="1" ht="24" spans="1:15">
      <c r="A256" s="16">
        <v>43</v>
      </c>
      <c r="B256" s="16" t="s">
        <v>238</v>
      </c>
      <c r="C256" s="16" t="s">
        <v>1227</v>
      </c>
      <c r="D256" s="16"/>
      <c r="E256" s="16" t="s">
        <v>1230</v>
      </c>
      <c r="F256" s="16"/>
      <c r="G256" s="16" t="s">
        <v>1231</v>
      </c>
      <c r="H256" s="16" t="s">
        <v>1047</v>
      </c>
      <c r="I256" s="16">
        <v>0.1</v>
      </c>
      <c r="J256" s="16">
        <v>30</v>
      </c>
      <c r="K256" s="16"/>
      <c r="L256" s="16">
        <f t="shared" si="51"/>
        <v>0.162</v>
      </c>
      <c r="M256" s="16">
        <f t="shared" si="52"/>
        <v>0.135</v>
      </c>
      <c r="N256" s="16" t="s">
        <v>1052</v>
      </c>
      <c r="O256" s="16"/>
    </row>
    <row r="257" s="6" customFormat="1" ht="24" spans="1:15">
      <c r="A257" s="16">
        <v>45</v>
      </c>
      <c r="B257" s="16" t="s">
        <v>238</v>
      </c>
      <c r="C257" s="16" t="s">
        <v>1227</v>
      </c>
      <c r="D257" s="16"/>
      <c r="E257" s="16" t="s">
        <v>1232</v>
      </c>
      <c r="F257" s="16"/>
      <c r="G257" s="16" t="s">
        <v>1233</v>
      </c>
      <c r="H257" s="16" t="s">
        <v>1047</v>
      </c>
      <c r="I257" s="16">
        <v>0.15</v>
      </c>
      <c r="J257" s="16">
        <v>45</v>
      </c>
      <c r="K257" s="16"/>
      <c r="L257" s="16">
        <f t="shared" si="51"/>
        <v>0.243</v>
      </c>
      <c r="M257" s="16">
        <f t="shared" si="52"/>
        <v>0.2025</v>
      </c>
      <c r="N257" s="16" t="s">
        <v>1052</v>
      </c>
      <c r="O257" s="16"/>
    </row>
    <row r="258" s="6" customFormat="1" ht="24" spans="1:15">
      <c r="A258" s="16">
        <v>47</v>
      </c>
      <c r="B258" s="16" t="s">
        <v>238</v>
      </c>
      <c r="C258" s="16" t="s">
        <v>1227</v>
      </c>
      <c r="D258" s="16"/>
      <c r="E258" s="16" t="s">
        <v>1234</v>
      </c>
      <c r="F258" s="16"/>
      <c r="G258" s="16" t="s">
        <v>1235</v>
      </c>
      <c r="H258" s="16" t="s">
        <v>1047</v>
      </c>
      <c r="I258" s="16">
        <v>0.2</v>
      </c>
      <c r="J258" s="16">
        <v>60</v>
      </c>
      <c r="K258" s="16"/>
      <c r="L258" s="16">
        <f t="shared" si="51"/>
        <v>0.324</v>
      </c>
      <c r="M258" s="16">
        <f t="shared" si="52"/>
        <v>0.27</v>
      </c>
      <c r="N258" s="16" t="s">
        <v>1052</v>
      </c>
      <c r="O258" s="16"/>
    </row>
    <row r="259" s="6" customFormat="1" ht="24" spans="1:15">
      <c r="A259" s="16">
        <v>49</v>
      </c>
      <c r="B259" s="16" t="s">
        <v>238</v>
      </c>
      <c r="C259" s="16" t="s">
        <v>1227</v>
      </c>
      <c r="D259" s="16"/>
      <c r="E259" s="16" t="s">
        <v>1236</v>
      </c>
      <c r="F259" s="16"/>
      <c r="G259" s="16" t="s">
        <v>1237</v>
      </c>
      <c r="H259" s="16" t="s">
        <v>1047</v>
      </c>
      <c r="I259" s="16">
        <v>0.1</v>
      </c>
      <c r="J259" s="16">
        <v>30</v>
      </c>
      <c r="K259" s="16"/>
      <c r="L259" s="16">
        <f t="shared" si="51"/>
        <v>0.162</v>
      </c>
      <c r="M259" s="16">
        <f t="shared" si="52"/>
        <v>0.135</v>
      </c>
      <c r="N259" s="16" t="s">
        <v>1052</v>
      </c>
      <c r="O259" s="16"/>
    </row>
    <row r="260" s="6" customFormat="1" ht="24" spans="1:15">
      <c r="A260" s="16">
        <v>51</v>
      </c>
      <c r="B260" s="16" t="s">
        <v>238</v>
      </c>
      <c r="C260" s="16" t="s">
        <v>1227</v>
      </c>
      <c r="D260" s="16"/>
      <c r="E260" s="16" t="s">
        <v>1238</v>
      </c>
      <c r="F260" s="16"/>
      <c r="G260" s="16" t="s">
        <v>1239</v>
      </c>
      <c r="H260" s="16" t="s">
        <v>1047</v>
      </c>
      <c r="I260" s="16">
        <v>0.1</v>
      </c>
      <c r="J260" s="16">
        <v>30</v>
      </c>
      <c r="K260" s="16"/>
      <c r="L260" s="16">
        <f t="shared" si="51"/>
        <v>0.162</v>
      </c>
      <c r="M260" s="16">
        <f t="shared" si="52"/>
        <v>0.135</v>
      </c>
      <c r="N260" s="16" t="s">
        <v>1052</v>
      </c>
      <c r="O260" s="16"/>
    </row>
    <row r="261" s="6" customFormat="1" ht="24" spans="1:15">
      <c r="A261" s="16">
        <v>53</v>
      </c>
      <c r="B261" s="16" t="s">
        <v>238</v>
      </c>
      <c r="C261" s="16" t="s">
        <v>1227</v>
      </c>
      <c r="D261" s="16"/>
      <c r="E261" s="16" t="s">
        <v>1240</v>
      </c>
      <c r="F261" s="16"/>
      <c r="G261" s="16" t="s">
        <v>1241</v>
      </c>
      <c r="H261" s="16" t="s">
        <v>1047</v>
      </c>
      <c r="I261" s="16">
        <v>0.15</v>
      </c>
      <c r="J261" s="16">
        <v>45</v>
      </c>
      <c r="K261" s="16"/>
      <c r="L261" s="16">
        <f t="shared" si="51"/>
        <v>0.243</v>
      </c>
      <c r="M261" s="16">
        <f t="shared" si="52"/>
        <v>0.2025</v>
      </c>
      <c r="N261" s="16" t="s">
        <v>1052</v>
      </c>
      <c r="O261" s="16"/>
    </row>
    <row r="262" s="6" customFormat="1" ht="24" spans="1:15">
      <c r="A262" s="16">
        <v>55</v>
      </c>
      <c r="B262" s="16" t="s">
        <v>238</v>
      </c>
      <c r="C262" s="16" t="s">
        <v>1227</v>
      </c>
      <c r="D262" s="16"/>
      <c r="E262" s="16" t="s">
        <v>1242</v>
      </c>
      <c r="F262" s="16"/>
      <c r="G262" s="16" t="s">
        <v>1243</v>
      </c>
      <c r="H262" s="16" t="s">
        <v>1047</v>
      </c>
      <c r="I262" s="16">
        <v>0.15</v>
      </c>
      <c r="J262" s="16">
        <v>45</v>
      </c>
      <c r="K262" s="16"/>
      <c r="L262" s="16">
        <f t="shared" si="51"/>
        <v>0.243</v>
      </c>
      <c r="M262" s="16">
        <f t="shared" si="52"/>
        <v>0.2025</v>
      </c>
      <c r="N262" s="16" t="s">
        <v>1052</v>
      </c>
      <c r="O262" s="16"/>
    </row>
    <row r="263" s="6" customFormat="1" ht="24" spans="1:15">
      <c r="A263" s="16">
        <v>57</v>
      </c>
      <c r="B263" s="16" t="s">
        <v>238</v>
      </c>
      <c r="C263" s="16" t="s">
        <v>1227</v>
      </c>
      <c r="D263" s="16"/>
      <c r="E263" s="16" t="s">
        <v>1244</v>
      </c>
      <c r="F263" s="16"/>
      <c r="G263" s="16" t="s">
        <v>1245</v>
      </c>
      <c r="H263" s="16" t="s">
        <v>1047</v>
      </c>
      <c r="I263" s="16">
        <v>0.15</v>
      </c>
      <c r="J263" s="16">
        <v>45</v>
      </c>
      <c r="K263" s="16"/>
      <c r="L263" s="16">
        <f t="shared" si="51"/>
        <v>0.243</v>
      </c>
      <c r="M263" s="16">
        <f t="shared" si="52"/>
        <v>0.2025</v>
      </c>
      <c r="N263" s="16" t="s">
        <v>1052</v>
      </c>
      <c r="O263" s="16"/>
    </row>
    <row r="264" s="6" customFormat="1" ht="24" spans="1:15">
      <c r="A264" s="16">
        <v>59</v>
      </c>
      <c r="B264" s="16" t="s">
        <v>238</v>
      </c>
      <c r="C264" s="16" t="s">
        <v>1227</v>
      </c>
      <c r="D264" s="16"/>
      <c r="E264" s="16" t="s">
        <v>1246</v>
      </c>
      <c r="F264" s="16"/>
      <c r="G264" s="16" t="s">
        <v>1247</v>
      </c>
      <c r="H264" s="16" t="s">
        <v>1047</v>
      </c>
      <c r="I264" s="16">
        <v>0.1</v>
      </c>
      <c r="J264" s="16">
        <v>30</v>
      </c>
      <c r="K264" s="16"/>
      <c r="L264" s="16">
        <f t="shared" si="51"/>
        <v>0.162</v>
      </c>
      <c r="M264" s="16">
        <f t="shared" si="52"/>
        <v>0.135</v>
      </c>
      <c r="N264" s="16" t="s">
        <v>1052</v>
      </c>
      <c r="O264" s="16"/>
    </row>
    <row r="265" s="6" customFormat="1" ht="24" spans="1:15">
      <c r="A265" s="16">
        <v>61</v>
      </c>
      <c r="B265" s="16" t="s">
        <v>238</v>
      </c>
      <c r="C265" s="16" t="s">
        <v>1227</v>
      </c>
      <c r="D265" s="16"/>
      <c r="E265" s="16" t="s">
        <v>1248</v>
      </c>
      <c r="F265" s="16"/>
      <c r="G265" s="16" t="s">
        <v>1249</v>
      </c>
      <c r="H265" s="16" t="s">
        <v>1047</v>
      </c>
      <c r="I265" s="16">
        <v>0.1</v>
      </c>
      <c r="J265" s="16">
        <v>30</v>
      </c>
      <c r="K265" s="16"/>
      <c r="L265" s="16">
        <f t="shared" si="51"/>
        <v>0.162</v>
      </c>
      <c r="M265" s="16">
        <f t="shared" si="52"/>
        <v>0.135</v>
      </c>
      <c r="N265" s="16" t="s">
        <v>1052</v>
      </c>
      <c r="O265" s="16"/>
    </row>
    <row r="266" s="6" customFormat="1" ht="24" spans="1:15">
      <c r="A266" s="16">
        <v>63</v>
      </c>
      <c r="B266" s="16" t="s">
        <v>238</v>
      </c>
      <c r="C266" s="16" t="s">
        <v>1227</v>
      </c>
      <c r="D266" s="16"/>
      <c r="E266" s="16" t="s">
        <v>1250</v>
      </c>
      <c r="F266" s="16"/>
      <c r="G266" s="16" t="s">
        <v>1251</v>
      </c>
      <c r="H266" s="16" t="s">
        <v>1047</v>
      </c>
      <c r="I266" s="16">
        <v>0.1</v>
      </c>
      <c r="J266" s="16">
        <v>30</v>
      </c>
      <c r="K266" s="16"/>
      <c r="L266" s="16">
        <f t="shared" si="51"/>
        <v>0.162</v>
      </c>
      <c r="M266" s="16">
        <f t="shared" si="52"/>
        <v>0.135</v>
      </c>
      <c r="N266" s="16" t="s">
        <v>1052</v>
      </c>
      <c r="O266" s="16"/>
    </row>
    <row r="267" s="6" customFormat="1" ht="24" spans="1:15">
      <c r="A267" s="16">
        <v>65</v>
      </c>
      <c r="B267" s="16" t="s">
        <v>238</v>
      </c>
      <c r="C267" s="16" t="s">
        <v>1227</v>
      </c>
      <c r="D267" s="16"/>
      <c r="E267" s="16" t="s">
        <v>1252</v>
      </c>
      <c r="F267" s="16"/>
      <c r="G267" s="16" t="s">
        <v>1253</v>
      </c>
      <c r="H267" s="16" t="s">
        <v>1047</v>
      </c>
      <c r="I267" s="16">
        <v>0.1</v>
      </c>
      <c r="J267" s="16">
        <v>30</v>
      </c>
      <c r="K267" s="16"/>
      <c r="L267" s="16">
        <f t="shared" si="51"/>
        <v>0.162</v>
      </c>
      <c r="M267" s="16">
        <f t="shared" si="52"/>
        <v>0.135</v>
      </c>
      <c r="N267" s="16" t="s">
        <v>1052</v>
      </c>
      <c r="O267" s="16"/>
    </row>
    <row r="268" s="6" customFormat="1" ht="29" customHeight="1" spans="1:15">
      <c r="A268" s="16">
        <v>67</v>
      </c>
      <c r="B268" s="16" t="s">
        <v>238</v>
      </c>
      <c r="C268" s="16" t="s">
        <v>1227</v>
      </c>
      <c r="D268" s="16"/>
      <c r="E268" s="16" t="s">
        <v>1254</v>
      </c>
      <c r="F268" s="16"/>
      <c r="G268" s="16" t="s">
        <v>1255</v>
      </c>
      <c r="H268" s="16" t="s">
        <v>1047</v>
      </c>
      <c r="I268" s="16">
        <v>0.06</v>
      </c>
      <c r="J268" s="16"/>
      <c r="K268" s="16">
        <v>9</v>
      </c>
      <c r="L268" s="16">
        <f t="shared" si="51"/>
        <v>0.0486</v>
      </c>
      <c r="M268" s="16">
        <f t="shared" ref="M268:M282" si="53">K268*45/10000</f>
        <v>0.0405</v>
      </c>
      <c r="N268" s="16" t="s">
        <v>1066</v>
      </c>
      <c r="O268" s="16"/>
    </row>
    <row r="269" s="6" customFormat="1" ht="29" customHeight="1" spans="1:15">
      <c r="A269" s="16">
        <v>69</v>
      </c>
      <c r="B269" s="16" t="s">
        <v>238</v>
      </c>
      <c r="C269" s="16" t="s">
        <v>1227</v>
      </c>
      <c r="D269" s="16"/>
      <c r="E269" s="16" t="s">
        <v>1256</v>
      </c>
      <c r="F269" s="16"/>
      <c r="G269" s="16" t="s">
        <v>1257</v>
      </c>
      <c r="H269" s="16" t="s">
        <v>1047</v>
      </c>
      <c r="I269" s="16">
        <v>0.1</v>
      </c>
      <c r="J269" s="16"/>
      <c r="K269" s="16">
        <v>15</v>
      </c>
      <c r="L269" s="16">
        <f t="shared" si="51"/>
        <v>0.081</v>
      </c>
      <c r="M269" s="16">
        <f t="shared" si="53"/>
        <v>0.0675</v>
      </c>
      <c r="N269" s="16" t="s">
        <v>1066</v>
      </c>
      <c r="O269" s="16"/>
    </row>
    <row r="270" s="6" customFormat="1" ht="29" customHeight="1" spans="1:15">
      <c r="A270" s="16">
        <v>71</v>
      </c>
      <c r="B270" s="16" t="s">
        <v>238</v>
      </c>
      <c r="C270" s="16" t="s">
        <v>1227</v>
      </c>
      <c r="D270" s="16"/>
      <c r="E270" s="16" t="s">
        <v>1258</v>
      </c>
      <c r="F270" s="16"/>
      <c r="G270" s="16" t="s">
        <v>1259</v>
      </c>
      <c r="H270" s="16" t="s">
        <v>1047</v>
      </c>
      <c r="I270" s="16">
        <v>0.06</v>
      </c>
      <c r="J270" s="16"/>
      <c r="K270" s="16">
        <v>9</v>
      </c>
      <c r="L270" s="16">
        <f t="shared" si="51"/>
        <v>0.0486</v>
      </c>
      <c r="M270" s="16">
        <f t="shared" si="53"/>
        <v>0.0405</v>
      </c>
      <c r="N270" s="16" t="s">
        <v>1066</v>
      </c>
      <c r="O270" s="16"/>
    </row>
    <row r="271" s="6" customFormat="1" ht="29" customHeight="1" spans="1:15">
      <c r="A271" s="16">
        <v>73</v>
      </c>
      <c r="B271" s="16" t="s">
        <v>238</v>
      </c>
      <c r="C271" s="16" t="s">
        <v>1227</v>
      </c>
      <c r="D271" s="16"/>
      <c r="E271" s="16" t="s">
        <v>1260</v>
      </c>
      <c r="F271" s="16"/>
      <c r="G271" s="16" t="s">
        <v>1261</v>
      </c>
      <c r="H271" s="16" t="s">
        <v>1047</v>
      </c>
      <c r="I271" s="16">
        <v>0.05</v>
      </c>
      <c r="J271" s="16"/>
      <c r="K271" s="16">
        <v>7.5</v>
      </c>
      <c r="L271" s="16">
        <f t="shared" si="51"/>
        <v>0.0405</v>
      </c>
      <c r="M271" s="16">
        <f t="shared" si="53"/>
        <v>0.03375</v>
      </c>
      <c r="N271" s="16" t="s">
        <v>1066</v>
      </c>
      <c r="O271" s="16"/>
    </row>
    <row r="272" s="6" customFormat="1" ht="29" customHeight="1" spans="1:15">
      <c r="A272" s="16">
        <v>75</v>
      </c>
      <c r="B272" s="16" t="s">
        <v>238</v>
      </c>
      <c r="C272" s="16" t="s">
        <v>1227</v>
      </c>
      <c r="D272" s="16"/>
      <c r="E272" s="16" t="s">
        <v>1262</v>
      </c>
      <c r="F272" s="16"/>
      <c r="G272" s="16" t="s">
        <v>1263</v>
      </c>
      <c r="H272" s="16" t="s">
        <v>1047</v>
      </c>
      <c r="I272" s="16">
        <v>0.21</v>
      </c>
      <c r="J272" s="16"/>
      <c r="K272" s="16">
        <v>31.5</v>
      </c>
      <c r="L272" s="16">
        <f t="shared" si="51"/>
        <v>0.1701</v>
      </c>
      <c r="M272" s="16">
        <f t="shared" si="53"/>
        <v>0.14175</v>
      </c>
      <c r="N272" s="16" t="s">
        <v>1066</v>
      </c>
      <c r="O272" s="16"/>
    </row>
    <row r="273" s="6" customFormat="1" ht="29" customHeight="1" spans="1:15">
      <c r="A273" s="16">
        <v>77</v>
      </c>
      <c r="B273" s="16" t="s">
        <v>238</v>
      </c>
      <c r="C273" s="16" t="s">
        <v>1227</v>
      </c>
      <c r="D273" s="16"/>
      <c r="E273" s="16" t="s">
        <v>1264</v>
      </c>
      <c r="F273" s="16"/>
      <c r="G273" s="16" t="s">
        <v>1265</v>
      </c>
      <c r="H273" s="16" t="s">
        <v>1047</v>
      </c>
      <c r="I273" s="16">
        <v>0.05</v>
      </c>
      <c r="J273" s="16"/>
      <c r="K273" s="16">
        <v>7.5</v>
      </c>
      <c r="L273" s="16">
        <f t="shared" si="51"/>
        <v>0.0405</v>
      </c>
      <c r="M273" s="16">
        <f t="shared" si="53"/>
        <v>0.03375</v>
      </c>
      <c r="N273" s="16" t="s">
        <v>1066</v>
      </c>
      <c r="O273" s="16"/>
    </row>
    <row r="274" s="6" customFormat="1" ht="29" customHeight="1" spans="1:15">
      <c r="A274" s="16">
        <v>79</v>
      </c>
      <c r="B274" s="16" t="s">
        <v>238</v>
      </c>
      <c r="C274" s="16" t="s">
        <v>1227</v>
      </c>
      <c r="D274" s="16"/>
      <c r="E274" s="16" t="s">
        <v>1266</v>
      </c>
      <c r="F274" s="16"/>
      <c r="G274" s="16" t="s">
        <v>1267</v>
      </c>
      <c r="H274" s="16" t="s">
        <v>1047</v>
      </c>
      <c r="I274" s="16">
        <v>0.05</v>
      </c>
      <c r="J274" s="16"/>
      <c r="K274" s="16">
        <v>7.5</v>
      </c>
      <c r="L274" s="16">
        <f t="shared" si="51"/>
        <v>0.0405</v>
      </c>
      <c r="M274" s="16">
        <f t="shared" si="53"/>
        <v>0.03375</v>
      </c>
      <c r="N274" s="16" t="s">
        <v>1066</v>
      </c>
      <c r="O274" s="16"/>
    </row>
    <row r="275" s="6" customFormat="1" ht="29" customHeight="1" spans="1:15">
      <c r="A275" s="16">
        <v>81</v>
      </c>
      <c r="B275" s="16" t="s">
        <v>238</v>
      </c>
      <c r="C275" s="16" t="s">
        <v>1157</v>
      </c>
      <c r="D275" s="16"/>
      <c r="E275" s="16" t="s">
        <v>1268</v>
      </c>
      <c r="F275" s="16"/>
      <c r="G275" s="16" t="s">
        <v>1269</v>
      </c>
      <c r="H275" s="16" t="s">
        <v>1047</v>
      </c>
      <c r="I275" s="16">
        <v>0.06</v>
      </c>
      <c r="J275" s="16"/>
      <c r="K275" s="16">
        <v>9</v>
      </c>
      <c r="L275" s="16">
        <f t="shared" si="51"/>
        <v>0.0486</v>
      </c>
      <c r="M275" s="16">
        <f t="shared" si="53"/>
        <v>0.0405</v>
      </c>
      <c r="N275" s="16" t="s">
        <v>1066</v>
      </c>
      <c r="O275" s="16"/>
    </row>
    <row r="276" s="6" customFormat="1" ht="29" customHeight="1" spans="1:15">
      <c r="A276" s="16">
        <v>83</v>
      </c>
      <c r="B276" s="16" t="s">
        <v>238</v>
      </c>
      <c r="C276" s="16" t="s">
        <v>1157</v>
      </c>
      <c r="D276" s="16"/>
      <c r="E276" s="16" t="s">
        <v>1270</v>
      </c>
      <c r="F276" s="16"/>
      <c r="G276" s="16" t="s">
        <v>1271</v>
      </c>
      <c r="H276" s="16" t="s">
        <v>1047</v>
      </c>
      <c r="I276" s="16">
        <v>0.16</v>
      </c>
      <c r="J276" s="16"/>
      <c r="K276" s="16">
        <v>24</v>
      </c>
      <c r="L276" s="16">
        <f t="shared" si="51"/>
        <v>0.1296</v>
      </c>
      <c r="M276" s="16">
        <f t="shared" si="53"/>
        <v>0.108</v>
      </c>
      <c r="N276" s="16" t="s">
        <v>1066</v>
      </c>
      <c r="O276" s="16"/>
    </row>
    <row r="277" s="6" customFormat="1" ht="29" customHeight="1" spans="1:15">
      <c r="A277" s="16">
        <v>85</v>
      </c>
      <c r="B277" s="16" t="s">
        <v>238</v>
      </c>
      <c r="C277" s="16" t="s">
        <v>1157</v>
      </c>
      <c r="D277" s="16"/>
      <c r="E277" s="16" t="s">
        <v>1272</v>
      </c>
      <c r="F277" s="16"/>
      <c r="G277" s="16" t="s">
        <v>1273</v>
      </c>
      <c r="H277" s="16" t="s">
        <v>1047</v>
      </c>
      <c r="I277" s="16">
        <v>0.06</v>
      </c>
      <c r="J277" s="16"/>
      <c r="K277" s="16">
        <v>9</v>
      </c>
      <c r="L277" s="16">
        <f t="shared" si="51"/>
        <v>0.0486</v>
      </c>
      <c r="M277" s="16">
        <f t="shared" si="53"/>
        <v>0.0405</v>
      </c>
      <c r="N277" s="16" t="s">
        <v>1066</v>
      </c>
      <c r="O277" s="16"/>
    </row>
    <row r="278" s="6" customFormat="1" ht="29" customHeight="1" spans="1:15">
      <c r="A278" s="16">
        <v>87</v>
      </c>
      <c r="B278" s="16" t="s">
        <v>238</v>
      </c>
      <c r="C278" s="16" t="s">
        <v>1157</v>
      </c>
      <c r="D278" s="16"/>
      <c r="E278" s="16" t="s">
        <v>1274</v>
      </c>
      <c r="F278" s="16"/>
      <c r="G278" s="16" t="s">
        <v>1275</v>
      </c>
      <c r="H278" s="16" t="s">
        <v>1047</v>
      </c>
      <c r="I278" s="16">
        <v>0.18</v>
      </c>
      <c r="J278" s="16"/>
      <c r="K278" s="16">
        <v>27</v>
      </c>
      <c r="L278" s="16">
        <f t="shared" si="51"/>
        <v>0.1458</v>
      </c>
      <c r="M278" s="16">
        <f t="shared" si="53"/>
        <v>0.1215</v>
      </c>
      <c r="N278" s="16" t="s">
        <v>1066</v>
      </c>
      <c r="O278" s="16"/>
    </row>
    <row r="279" s="6" customFormat="1" ht="29" customHeight="1" spans="1:15">
      <c r="A279" s="16">
        <v>89</v>
      </c>
      <c r="B279" s="16" t="s">
        <v>238</v>
      </c>
      <c r="C279" s="16" t="s">
        <v>1157</v>
      </c>
      <c r="D279" s="16"/>
      <c r="E279" s="16" t="s">
        <v>1276</v>
      </c>
      <c r="F279" s="16"/>
      <c r="G279" s="16" t="s">
        <v>1277</v>
      </c>
      <c r="H279" s="16" t="s">
        <v>1047</v>
      </c>
      <c r="I279" s="16">
        <v>0.1</v>
      </c>
      <c r="J279" s="16"/>
      <c r="K279" s="16">
        <v>15</v>
      </c>
      <c r="L279" s="16">
        <f t="shared" si="51"/>
        <v>0.081</v>
      </c>
      <c r="M279" s="16">
        <f t="shared" si="53"/>
        <v>0.0675</v>
      </c>
      <c r="N279" s="16" t="s">
        <v>1066</v>
      </c>
      <c r="O279" s="16"/>
    </row>
    <row r="280" s="6" customFormat="1" ht="29" customHeight="1" spans="1:15">
      <c r="A280" s="16">
        <v>91</v>
      </c>
      <c r="B280" s="16" t="s">
        <v>238</v>
      </c>
      <c r="C280" s="16" t="s">
        <v>1157</v>
      </c>
      <c r="D280" s="16"/>
      <c r="E280" s="16" t="s">
        <v>1278</v>
      </c>
      <c r="F280" s="16"/>
      <c r="G280" s="16" t="s">
        <v>1279</v>
      </c>
      <c r="H280" s="16" t="s">
        <v>1047</v>
      </c>
      <c r="I280" s="16">
        <v>0.06</v>
      </c>
      <c r="J280" s="16"/>
      <c r="K280" s="16">
        <v>9</v>
      </c>
      <c r="L280" s="16">
        <f t="shared" si="51"/>
        <v>0.0486</v>
      </c>
      <c r="M280" s="16">
        <f t="shared" si="53"/>
        <v>0.0405</v>
      </c>
      <c r="N280" s="16" t="s">
        <v>1066</v>
      </c>
      <c r="O280" s="16"/>
    </row>
    <row r="281" s="6" customFormat="1" ht="29" customHeight="1" spans="1:15">
      <c r="A281" s="16">
        <v>93</v>
      </c>
      <c r="B281" s="16" t="s">
        <v>238</v>
      </c>
      <c r="C281" s="16" t="s">
        <v>1157</v>
      </c>
      <c r="D281" s="16"/>
      <c r="E281" s="16" t="s">
        <v>1280</v>
      </c>
      <c r="F281" s="16"/>
      <c r="G281" s="16" t="s">
        <v>1281</v>
      </c>
      <c r="H281" s="16" t="s">
        <v>1047</v>
      </c>
      <c r="I281" s="16">
        <v>0.06</v>
      </c>
      <c r="J281" s="16"/>
      <c r="K281" s="16">
        <v>9</v>
      </c>
      <c r="L281" s="16">
        <f t="shared" si="51"/>
        <v>0.0486</v>
      </c>
      <c r="M281" s="16">
        <f t="shared" si="53"/>
        <v>0.0405</v>
      </c>
      <c r="N281" s="16" t="s">
        <v>1066</v>
      </c>
      <c r="O281" s="16"/>
    </row>
    <row r="282" s="6" customFormat="1" ht="29" customHeight="1" spans="1:15">
      <c r="A282" s="16">
        <v>95</v>
      </c>
      <c r="B282" s="16" t="s">
        <v>238</v>
      </c>
      <c r="C282" s="16" t="s">
        <v>1204</v>
      </c>
      <c r="D282" s="16"/>
      <c r="E282" s="16" t="s">
        <v>1282</v>
      </c>
      <c r="F282" s="16"/>
      <c r="G282" s="16" t="s">
        <v>1283</v>
      </c>
      <c r="H282" s="16" t="s">
        <v>1047</v>
      </c>
      <c r="I282" s="16">
        <v>0.2</v>
      </c>
      <c r="J282" s="16"/>
      <c r="K282" s="16">
        <v>30</v>
      </c>
      <c r="L282" s="16">
        <f t="shared" si="51"/>
        <v>0.162</v>
      </c>
      <c r="M282" s="16">
        <f t="shared" si="53"/>
        <v>0.135</v>
      </c>
      <c r="N282" s="16" t="s">
        <v>1066</v>
      </c>
      <c r="O282" s="16"/>
    </row>
    <row r="283" s="5" customFormat="1" ht="32" customHeight="1" spans="1:15">
      <c r="A283" s="78" t="s">
        <v>1284</v>
      </c>
      <c r="B283" s="79"/>
      <c r="C283" s="79"/>
      <c r="D283" s="79"/>
      <c r="E283" s="79"/>
      <c r="F283" s="79"/>
      <c r="G283" s="80"/>
      <c r="H283" s="69"/>
      <c r="I283" s="69">
        <f t="shared" ref="I283:M283" si="54">SUM(I284:I348)</f>
        <v>8.49999999999999</v>
      </c>
      <c r="J283" s="69">
        <f t="shared" si="54"/>
        <v>1740</v>
      </c>
      <c r="K283" s="69">
        <f t="shared" si="54"/>
        <v>404.9</v>
      </c>
      <c r="L283" s="69">
        <f t="shared" si="54"/>
        <v>11.58246</v>
      </c>
      <c r="M283" s="69">
        <f t="shared" si="54"/>
        <v>9.65204999999999</v>
      </c>
      <c r="N283" s="69"/>
      <c r="O283" s="69"/>
    </row>
    <row r="284" s="6" customFormat="1" ht="32" customHeight="1" spans="1:15">
      <c r="A284" s="81">
        <v>1</v>
      </c>
      <c r="B284" s="81" t="s">
        <v>1284</v>
      </c>
      <c r="C284" s="81" t="s">
        <v>281</v>
      </c>
      <c r="D284" s="16" t="s">
        <v>1285</v>
      </c>
      <c r="E284" s="82" t="s">
        <v>1286</v>
      </c>
      <c r="F284" s="16" t="s">
        <v>1287</v>
      </c>
      <c r="G284" s="82" t="s">
        <v>1288</v>
      </c>
      <c r="H284" s="82" t="s">
        <v>1047</v>
      </c>
      <c r="I284" s="82">
        <v>0.1</v>
      </c>
      <c r="J284" s="82">
        <v>30</v>
      </c>
      <c r="K284" s="16"/>
      <c r="L284" s="81">
        <f t="shared" ref="L284:L347" si="55">M284*1.2</f>
        <v>0.162</v>
      </c>
      <c r="M284" s="81">
        <f t="shared" ref="M284:M301" si="56">J284*45/10000</f>
        <v>0.135</v>
      </c>
      <c r="N284" s="82" t="s">
        <v>1048</v>
      </c>
      <c r="O284" s="16"/>
    </row>
    <row r="285" s="6" customFormat="1" ht="32" customHeight="1" spans="1:15">
      <c r="A285" s="81">
        <v>2</v>
      </c>
      <c r="B285" s="81" t="s">
        <v>1284</v>
      </c>
      <c r="C285" s="81" t="s">
        <v>281</v>
      </c>
      <c r="D285" s="16" t="s">
        <v>1289</v>
      </c>
      <c r="E285" s="82" t="s">
        <v>1290</v>
      </c>
      <c r="F285" s="16" t="s">
        <v>1289</v>
      </c>
      <c r="G285" s="82" t="s">
        <v>1291</v>
      </c>
      <c r="H285" s="82" t="s">
        <v>1047</v>
      </c>
      <c r="I285" s="82">
        <v>0.1</v>
      </c>
      <c r="J285" s="82">
        <v>30</v>
      </c>
      <c r="K285" s="16"/>
      <c r="L285" s="81">
        <f t="shared" si="55"/>
        <v>0.162</v>
      </c>
      <c r="M285" s="81">
        <f t="shared" si="56"/>
        <v>0.135</v>
      </c>
      <c r="N285" s="82" t="s">
        <v>1048</v>
      </c>
      <c r="O285" s="16"/>
    </row>
    <row r="286" s="6" customFormat="1" ht="32" customHeight="1" spans="1:15">
      <c r="A286" s="81">
        <v>3</v>
      </c>
      <c r="B286" s="81" t="s">
        <v>1284</v>
      </c>
      <c r="C286" s="81" t="s">
        <v>281</v>
      </c>
      <c r="D286" s="16" t="s">
        <v>1289</v>
      </c>
      <c r="E286" s="82" t="s">
        <v>1292</v>
      </c>
      <c r="F286" s="16" t="s">
        <v>1293</v>
      </c>
      <c r="G286" s="82" t="s">
        <v>1294</v>
      </c>
      <c r="H286" s="82" t="s">
        <v>1047</v>
      </c>
      <c r="I286" s="82">
        <v>0.1</v>
      </c>
      <c r="J286" s="82">
        <v>30</v>
      </c>
      <c r="K286" s="16"/>
      <c r="L286" s="81">
        <f t="shared" si="55"/>
        <v>0.162</v>
      </c>
      <c r="M286" s="81">
        <f t="shared" si="56"/>
        <v>0.135</v>
      </c>
      <c r="N286" s="82" t="s">
        <v>1048</v>
      </c>
      <c r="O286" s="16"/>
    </row>
    <row r="287" s="6" customFormat="1" ht="32" customHeight="1" spans="1:15">
      <c r="A287" s="81">
        <v>4</v>
      </c>
      <c r="B287" s="81" t="s">
        <v>1284</v>
      </c>
      <c r="C287" s="81" t="s">
        <v>281</v>
      </c>
      <c r="D287" s="16" t="s">
        <v>1295</v>
      </c>
      <c r="E287" s="82" t="s">
        <v>1296</v>
      </c>
      <c r="F287" s="16" t="s">
        <v>1295</v>
      </c>
      <c r="G287" s="82" t="s">
        <v>1297</v>
      </c>
      <c r="H287" s="82" t="s">
        <v>1047</v>
      </c>
      <c r="I287" s="82">
        <v>0.1</v>
      </c>
      <c r="J287" s="82">
        <v>30</v>
      </c>
      <c r="K287" s="16"/>
      <c r="L287" s="81">
        <f t="shared" si="55"/>
        <v>0.162</v>
      </c>
      <c r="M287" s="81">
        <f t="shared" si="56"/>
        <v>0.135</v>
      </c>
      <c r="N287" s="82" t="s">
        <v>1048</v>
      </c>
      <c r="O287" s="16"/>
    </row>
    <row r="288" s="6" customFormat="1" ht="32" customHeight="1" spans="1:15">
      <c r="A288" s="81">
        <v>5</v>
      </c>
      <c r="B288" s="81" t="s">
        <v>1284</v>
      </c>
      <c r="C288" s="81" t="s">
        <v>281</v>
      </c>
      <c r="D288" s="16" t="s">
        <v>1295</v>
      </c>
      <c r="E288" s="82" t="s">
        <v>1298</v>
      </c>
      <c r="F288" s="16" t="s">
        <v>1295</v>
      </c>
      <c r="G288" s="82" t="s">
        <v>1299</v>
      </c>
      <c r="H288" s="82" t="s">
        <v>1047</v>
      </c>
      <c r="I288" s="82">
        <v>0.1</v>
      </c>
      <c r="J288" s="82">
        <v>30</v>
      </c>
      <c r="K288" s="16"/>
      <c r="L288" s="81">
        <f t="shared" si="55"/>
        <v>0.162</v>
      </c>
      <c r="M288" s="81">
        <f t="shared" si="56"/>
        <v>0.135</v>
      </c>
      <c r="N288" s="82" t="s">
        <v>1048</v>
      </c>
      <c r="O288" s="16"/>
    </row>
    <row r="289" s="6" customFormat="1" ht="32" customHeight="1" spans="1:15">
      <c r="A289" s="81">
        <v>6</v>
      </c>
      <c r="B289" s="81" t="s">
        <v>1284</v>
      </c>
      <c r="C289" s="81" t="s">
        <v>281</v>
      </c>
      <c r="D289" s="16" t="s">
        <v>1295</v>
      </c>
      <c r="E289" s="82" t="s">
        <v>1300</v>
      </c>
      <c r="F289" s="16" t="s">
        <v>1295</v>
      </c>
      <c r="G289" s="82" t="s">
        <v>1301</v>
      </c>
      <c r="H289" s="82" t="s">
        <v>1047</v>
      </c>
      <c r="I289" s="82">
        <v>0.1</v>
      </c>
      <c r="J289" s="82">
        <v>30</v>
      </c>
      <c r="K289" s="16"/>
      <c r="L289" s="81">
        <f t="shared" si="55"/>
        <v>0.162</v>
      </c>
      <c r="M289" s="81">
        <f t="shared" si="56"/>
        <v>0.135</v>
      </c>
      <c r="N289" s="82" t="s">
        <v>1048</v>
      </c>
      <c r="O289" s="16"/>
    </row>
    <row r="290" s="6" customFormat="1" ht="32" customHeight="1" spans="1:15">
      <c r="A290" s="81">
        <v>7</v>
      </c>
      <c r="B290" s="81" t="s">
        <v>1284</v>
      </c>
      <c r="C290" s="81" t="s">
        <v>281</v>
      </c>
      <c r="D290" s="16" t="s">
        <v>1302</v>
      </c>
      <c r="E290" s="82" t="s">
        <v>1303</v>
      </c>
      <c r="F290" s="16" t="s">
        <v>1302</v>
      </c>
      <c r="G290" s="82" t="s">
        <v>1304</v>
      </c>
      <c r="H290" s="82" t="s">
        <v>1047</v>
      </c>
      <c r="I290" s="82">
        <v>0.1</v>
      </c>
      <c r="J290" s="82">
        <v>30</v>
      </c>
      <c r="K290" s="16"/>
      <c r="L290" s="81">
        <f t="shared" si="55"/>
        <v>0.162</v>
      </c>
      <c r="M290" s="81">
        <f t="shared" si="56"/>
        <v>0.135</v>
      </c>
      <c r="N290" s="82" t="s">
        <v>1048</v>
      </c>
      <c r="O290" s="16"/>
    </row>
    <row r="291" s="6" customFormat="1" ht="32" customHeight="1" spans="1:15">
      <c r="A291" s="81">
        <v>8</v>
      </c>
      <c r="B291" s="81" t="s">
        <v>1284</v>
      </c>
      <c r="C291" s="81" t="s">
        <v>281</v>
      </c>
      <c r="D291" s="16" t="s">
        <v>1302</v>
      </c>
      <c r="E291" s="82" t="s">
        <v>1305</v>
      </c>
      <c r="F291" s="16" t="s">
        <v>1302</v>
      </c>
      <c r="G291" s="82" t="s">
        <v>1306</v>
      </c>
      <c r="H291" s="82" t="s">
        <v>1047</v>
      </c>
      <c r="I291" s="82">
        <v>0.1</v>
      </c>
      <c r="J291" s="82">
        <v>30</v>
      </c>
      <c r="K291" s="16"/>
      <c r="L291" s="81">
        <f t="shared" si="55"/>
        <v>0.162</v>
      </c>
      <c r="M291" s="81">
        <f t="shared" si="56"/>
        <v>0.135</v>
      </c>
      <c r="N291" s="82" t="s">
        <v>1048</v>
      </c>
      <c r="O291" s="16"/>
    </row>
    <row r="292" s="6" customFormat="1" ht="32" customHeight="1" spans="1:15">
      <c r="A292" s="81">
        <v>9</v>
      </c>
      <c r="B292" s="81" t="s">
        <v>1284</v>
      </c>
      <c r="C292" s="81" t="s">
        <v>281</v>
      </c>
      <c r="D292" s="16" t="s">
        <v>1302</v>
      </c>
      <c r="E292" s="82" t="s">
        <v>1307</v>
      </c>
      <c r="F292" s="16" t="s">
        <v>1302</v>
      </c>
      <c r="G292" s="82" t="s">
        <v>1308</v>
      </c>
      <c r="H292" s="82" t="s">
        <v>1047</v>
      </c>
      <c r="I292" s="82">
        <v>0.1</v>
      </c>
      <c r="J292" s="82">
        <v>30</v>
      </c>
      <c r="K292" s="16"/>
      <c r="L292" s="81">
        <f t="shared" si="55"/>
        <v>0.162</v>
      </c>
      <c r="M292" s="81">
        <f t="shared" si="56"/>
        <v>0.135</v>
      </c>
      <c r="N292" s="82" t="s">
        <v>1048</v>
      </c>
      <c r="O292" s="16"/>
    </row>
    <row r="293" s="6" customFormat="1" ht="32" customHeight="1" spans="1:15">
      <c r="A293" s="81">
        <v>10</v>
      </c>
      <c r="B293" s="81" t="s">
        <v>1284</v>
      </c>
      <c r="C293" s="81" t="s">
        <v>281</v>
      </c>
      <c r="D293" s="16" t="s">
        <v>1309</v>
      </c>
      <c r="E293" s="61" t="s">
        <v>1310</v>
      </c>
      <c r="F293" s="16" t="s">
        <v>1285</v>
      </c>
      <c r="G293" s="81" t="s">
        <v>1311</v>
      </c>
      <c r="H293" s="82" t="s">
        <v>1047</v>
      </c>
      <c r="I293" s="81">
        <v>0.1</v>
      </c>
      <c r="J293" s="81">
        <v>30</v>
      </c>
      <c r="K293" s="16"/>
      <c r="L293" s="81">
        <f t="shared" si="55"/>
        <v>0.162</v>
      </c>
      <c r="M293" s="81">
        <f t="shared" si="56"/>
        <v>0.135</v>
      </c>
      <c r="N293" s="82" t="s">
        <v>1048</v>
      </c>
      <c r="O293" s="16"/>
    </row>
    <row r="294" s="6" customFormat="1" ht="32" customHeight="1" spans="1:15">
      <c r="A294" s="81">
        <v>11</v>
      </c>
      <c r="B294" s="81" t="s">
        <v>1284</v>
      </c>
      <c r="C294" s="81" t="s">
        <v>281</v>
      </c>
      <c r="D294" s="16" t="s">
        <v>1295</v>
      </c>
      <c r="E294" s="81" t="s">
        <v>1312</v>
      </c>
      <c r="F294" s="16" t="s">
        <v>1295</v>
      </c>
      <c r="G294" s="81" t="s">
        <v>1313</v>
      </c>
      <c r="H294" s="82" t="s">
        <v>1047</v>
      </c>
      <c r="I294" s="81">
        <v>0.1</v>
      </c>
      <c r="J294" s="81">
        <v>30</v>
      </c>
      <c r="K294" s="16"/>
      <c r="L294" s="81">
        <f t="shared" si="55"/>
        <v>0.162</v>
      </c>
      <c r="M294" s="81">
        <f t="shared" si="56"/>
        <v>0.135</v>
      </c>
      <c r="N294" s="82" t="s">
        <v>1048</v>
      </c>
      <c r="O294" s="16"/>
    </row>
    <row r="295" s="6" customFormat="1" ht="32" customHeight="1" spans="1:15">
      <c r="A295" s="81">
        <v>12</v>
      </c>
      <c r="B295" s="81" t="s">
        <v>1284</v>
      </c>
      <c r="C295" s="81" t="s">
        <v>281</v>
      </c>
      <c r="D295" s="16" t="s">
        <v>1295</v>
      </c>
      <c r="E295" s="81" t="s">
        <v>1228</v>
      </c>
      <c r="F295" s="16" t="s">
        <v>1295</v>
      </c>
      <c r="G295" s="81" t="s">
        <v>1314</v>
      </c>
      <c r="H295" s="82" t="s">
        <v>1047</v>
      </c>
      <c r="I295" s="81">
        <v>0.1</v>
      </c>
      <c r="J295" s="81">
        <v>30</v>
      </c>
      <c r="K295" s="16"/>
      <c r="L295" s="81">
        <f t="shared" si="55"/>
        <v>0.162</v>
      </c>
      <c r="M295" s="81">
        <f t="shared" si="56"/>
        <v>0.135</v>
      </c>
      <c r="N295" s="82" t="s">
        <v>1048</v>
      </c>
      <c r="O295" s="16"/>
    </row>
    <row r="296" s="6" customFormat="1" ht="32" customHeight="1" spans="1:15">
      <c r="A296" s="81">
        <v>13</v>
      </c>
      <c r="B296" s="81" t="s">
        <v>1284</v>
      </c>
      <c r="C296" s="81" t="s">
        <v>281</v>
      </c>
      <c r="D296" s="16" t="s">
        <v>1295</v>
      </c>
      <c r="E296" s="81" t="s">
        <v>1315</v>
      </c>
      <c r="F296" s="16" t="s">
        <v>1295</v>
      </c>
      <c r="G296" s="81" t="s">
        <v>1316</v>
      </c>
      <c r="H296" s="82" t="s">
        <v>1047</v>
      </c>
      <c r="I296" s="81">
        <v>0.1</v>
      </c>
      <c r="J296" s="81">
        <v>30</v>
      </c>
      <c r="K296" s="16"/>
      <c r="L296" s="81">
        <f t="shared" si="55"/>
        <v>0.162</v>
      </c>
      <c r="M296" s="81">
        <f t="shared" si="56"/>
        <v>0.135</v>
      </c>
      <c r="N296" s="82" t="s">
        <v>1048</v>
      </c>
      <c r="O296" s="16"/>
    </row>
    <row r="297" s="6" customFormat="1" ht="32" customHeight="1" spans="1:15">
      <c r="A297" s="81">
        <v>14</v>
      </c>
      <c r="B297" s="81" t="s">
        <v>1284</v>
      </c>
      <c r="C297" s="81" t="s">
        <v>281</v>
      </c>
      <c r="D297" s="16" t="s">
        <v>1295</v>
      </c>
      <c r="E297" s="81" t="s">
        <v>1317</v>
      </c>
      <c r="F297" s="16" t="s">
        <v>1295</v>
      </c>
      <c r="G297" s="81" t="s">
        <v>1318</v>
      </c>
      <c r="H297" s="82" t="s">
        <v>1047</v>
      </c>
      <c r="I297" s="81">
        <v>0.1</v>
      </c>
      <c r="J297" s="81">
        <v>30</v>
      </c>
      <c r="K297" s="16"/>
      <c r="L297" s="81">
        <f t="shared" si="55"/>
        <v>0.162</v>
      </c>
      <c r="M297" s="81">
        <f t="shared" si="56"/>
        <v>0.135</v>
      </c>
      <c r="N297" s="82" t="s">
        <v>1048</v>
      </c>
      <c r="O297" s="16"/>
    </row>
    <row r="298" s="6" customFormat="1" ht="32" customHeight="1" spans="1:15">
      <c r="A298" s="81">
        <v>15</v>
      </c>
      <c r="B298" s="81" t="s">
        <v>1284</v>
      </c>
      <c r="C298" s="81" t="s">
        <v>281</v>
      </c>
      <c r="D298" s="16" t="s">
        <v>1295</v>
      </c>
      <c r="E298" s="81" t="s">
        <v>1319</v>
      </c>
      <c r="F298" s="16" t="s">
        <v>1295</v>
      </c>
      <c r="G298" s="81" t="s">
        <v>1320</v>
      </c>
      <c r="H298" s="82" t="s">
        <v>1047</v>
      </c>
      <c r="I298" s="81">
        <v>0.1</v>
      </c>
      <c r="J298" s="81">
        <v>30</v>
      </c>
      <c r="K298" s="16"/>
      <c r="L298" s="81">
        <f t="shared" si="55"/>
        <v>0.162</v>
      </c>
      <c r="M298" s="81">
        <f t="shared" si="56"/>
        <v>0.135</v>
      </c>
      <c r="N298" s="82" t="s">
        <v>1048</v>
      </c>
      <c r="O298" s="16"/>
    </row>
    <row r="299" s="6" customFormat="1" ht="32" customHeight="1" spans="1:15">
      <c r="A299" s="81">
        <v>16</v>
      </c>
      <c r="B299" s="81" t="s">
        <v>1284</v>
      </c>
      <c r="C299" s="81" t="s">
        <v>281</v>
      </c>
      <c r="D299" s="16" t="s">
        <v>1321</v>
      </c>
      <c r="E299" s="81" t="s">
        <v>1322</v>
      </c>
      <c r="F299" s="16" t="s">
        <v>1321</v>
      </c>
      <c r="G299" s="81" t="s">
        <v>1323</v>
      </c>
      <c r="H299" s="82" t="s">
        <v>1047</v>
      </c>
      <c r="I299" s="81">
        <v>0.1</v>
      </c>
      <c r="J299" s="81">
        <v>30</v>
      </c>
      <c r="K299" s="16"/>
      <c r="L299" s="81">
        <f t="shared" si="55"/>
        <v>0.162</v>
      </c>
      <c r="M299" s="81">
        <f t="shared" si="56"/>
        <v>0.135</v>
      </c>
      <c r="N299" s="82" t="s">
        <v>1048</v>
      </c>
      <c r="O299" s="16"/>
    </row>
    <row r="300" s="6" customFormat="1" ht="32" customHeight="1" spans="1:15">
      <c r="A300" s="81">
        <v>17</v>
      </c>
      <c r="B300" s="81" t="s">
        <v>1284</v>
      </c>
      <c r="C300" s="81" t="s">
        <v>281</v>
      </c>
      <c r="D300" s="83" t="s">
        <v>1302</v>
      </c>
      <c r="E300" s="81" t="s">
        <v>1324</v>
      </c>
      <c r="F300" s="83" t="s">
        <v>1302</v>
      </c>
      <c r="G300" s="81" t="s">
        <v>1325</v>
      </c>
      <c r="H300" s="82" t="s">
        <v>1047</v>
      </c>
      <c r="I300" s="81">
        <v>0.1</v>
      </c>
      <c r="J300" s="81">
        <v>30</v>
      </c>
      <c r="K300" s="16"/>
      <c r="L300" s="81">
        <f t="shared" si="55"/>
        <v>0.162</v>
      </c>
      <c r="M300" s="81">
        <f t="shared" si="56"/>
        <v>0.135</v>
      </c>
      <c r="N300" s="82" t="s">
        <v>1048</v>
      </c>
      <c r="O300" s="16"/>
    </row>
    <row r="301" s="6" customFormat="1" ht="32" customHeight="1" spans="1:15">
      <c r="A301" s="81">
        <v>18</v>
      </c>
      <c r="B301" s="81" t="s">
        <v>1284</v>
      </c>
      <c r="C301" s="81" t="s">
        <v>281</v>
      </c>
      <c r="D301" s="83" t="s">
        <v>1302</v>
      </c>
      <c r="E301" s="81" t="s">
        <v>1326</v>
      </c>
      <c r="F301" s="83" t="s">
        <v>1302</v>
      </c>
      <c r="G301" s="81" t="s">
        <v>1327</v>
      </c>
      <c r="H301" s="82" t="s">
        <v>1047</v>
      </c>
      <c r="I301" s="81">
        <v>0.1</v>
      </c>
      <c r="J301" s="81">
        <v>30</v>
      </c>
      <c r="K301" s="16"/>
      <c r="L301" s="81">
        <f t="shared" si="55"/>
        <v>0.162</v>
      </c>
      <c r="M301" s="81">
        <f t="shared" si="56"/>
        <v>0.135</v>
      </c>
      <c r="N301" s="82" t="s">
        <v>1048</v>
      </c>
      <c r="O301" s="16"/>
    </row>
    <row r="302" s="6" customFormat="1" ht="32" customHeight="1" spans="1:15">
      <c r="A302" s="81">
        <v>19</v>
      </c>
      <c r="B302" s="81" t="s">
        <v>1284</v>
      </c>
      <c r="C302" s="81" t="s">
        <v>281</v>
      </c>
      <c r="D302" s="83" t="s">
        <v>1302</v>
      </c>
      <c r="E302" s="82" t="s">
        <v>1292</v>
      </c>
      <c r="F302" s="83" t="s">
        <v>1302</v>
      </c>
      <c r="G302" s="81" t="s">
        <v>1312</v>
      </c>
      <c r="H302" s="82" t="s">
        <v>1066</v>
      </c>
      <c r="I302" s="81">
        <v>0.6</v>
      </c>
      <c r="J302" s="16"/>
      <c r="K302" s="81">
        <v>90</v>
      </c>
      <c r="L302" s="81">
        <f t="shared" si="55"/>
        <v>0.486</v>
      </c>
      <c r="M302" s="81">
        <f t="shared" ref="M302:M304" si="57">K302*45/10000</f>
        <v>0.405</v>
      </c>
      <c r="N302" s="82" t="s">
        <v>1048</v>
      </c>
      <c r="O302" s="16"/>
    </row>
    <row r="303" s="6" customFormat="1" ht="32" customHeight="1" spans="1:15">
      <c r="A303" s="81">
        <v>20</v>
      </c>
      <c r="B303" s="81" t="s">
        <v>1284</v>
      </c>
      <c r="C303" s="81" t="s">
        <v>281</v>
      </c>
      <c r="D303" s="83" t="s">
        <v>1302</v>
      </c>
      <c r="E303" s="82" t="s">
        <v>1328</v>
      </c>
      <c r="F303" s="83" t="s">
        <v>1302</v>
      </c>
      <c r="G303" s="81" t="s">
        <v>1329</v>
      </c>
      <c r="H303" s="82" t="s">
        <v>1066</v>
      </c>
      <c r="I303" s="81">
        <v>0.35</v>
      </c>
      <c r="J303" s="16"/>
      <c r="K303" s="81">
        <v>52.4</v>
      </c>
      <c r="L303" s="81">
        <f t="shared" si="55"/>
        <v>0.28296</v>
      </c>
      <c r="M303" s="81">
        <f t="shared" si="57"/>
        <v>0.2358</v>
      </c>
      <c r="N303" s="82" t="s">
        <v>1048</v>
      </c>
      <c r="O303" s="16"/>
    </row>
    <row r="304" s="6" customFormat="1" ht="32" customHeight="1" spans="1:15">
      <c r="A304" s="81">
        <v>21</v>
      </c>
      <c r="B304" s="81" t="s">
        <v>1284</v>
      </c>
      <c r="C304" s="81" t="s">
        <v>281</v>
      </c>
      <c r="D304" s="83" t="s">
        <v>1302</v>
      </c>
      <c r="E304" s="82" t="s">
        <v>1330</v>
      </c>
      <c r="F304" s="83" t="s">
        <v>1302</v>
      </c>
      <c r="G304" s="61" t="s">
        <v>1331</v>
      </c>
      <c r="H304" s="82" t="s">
        <v>1066</v>
      </c>
      <c r="I304" s="81">
        <v>0.1</v>
      </c>
      <c r="J304" s="16"/>
      <c r="K304" s="81">
        <v>15</v>
      </c>
      <c r="L304" s="81">
        <f t="shared" si="55"/>
        <v>0.081</v>
      </c>
      <c r="M304" s="81">
        <f t="shared" si="57"/>
        <v>0.0675</v>
      </c>
      <c r="N304" s="82" t="s">
        <v>1048</v>
      </c>
      <c r="O304" s="16"/>
    </row>
    <row r="305" s="6" customFormat="1" ht="32" customHeight="1" spans="1:15">
      <c r="A305" s="81">
        <v>22</v>
      </c>
      <c r="B305" s="81" t="s">
        <v>1284</v>
      </c>
      <c r="C305" s="81" t="s">
        <v>63</v>
      </c>
      <c r="D305" s="16" t="s">
        <v>1332</v>
      </c>
      <c r="E305" s="40" t="s">
        <v>1333</v>
      </c>
      <c r="F305" s="16" t="s">
        <v>1332</v>
      </c>
      <c r="G305" s="82" t="s">
        <v>1334</v>
      </c>
      <c r="H305" s="82" t="s">
        <v>1047</v>
      </c>
      <c r="I305" s="81">
        <v>0.1</v>
      </c>
      <c r="J305" s="81">
        <v>30</v>
      </c>
      <c r="K305" s="16"/>
      <c r="L305" s="81">
        <f t="shared" si="55"/>
        <v>0.162</v>
      </c>
      <c r="M305" s="81">
        <f t="shared" ref="M305:M318" si="58">J305*45/10000</f>
        <v>0.135</v>
      </c>
      <c r="N305" s="82" t="s">
        <v>1048</v>
      </c>
      <c r="O305" s="16"/>
    </row>
    <row r="306" s="6" customFormat="1" ht="32" customHeight="1" spans="1:15">
      <c r="A306" s="81">
        <v>23</v>
      </c>
      <c r="B306" s="81" t="s">
        <v>1284</v>
      </c>
      <c r="C306" s="81" t="s">
        <v>63</v>
      </c>
      <c r="D306" s="16" t="s">
        <v>1332</v>
      </c>
      <c r="E306" s="82" t="s">
        <v>1335</v>
      </c>
      <c r="F306" s="16" t="s">
        <v>1336</v>
      </c>
      <c r="G306" s="82" t="s">
        <v>1337</v>
      </c>
      <c r="H306" s="82" t="s">
        <v>1047</v>
      </c>
      <c r="I306" s="81">
        <v>0.1</v>
      </c>
      <c r="J306" s="81">
        <v>30</v>
      </c>
      <c r="K306" s="16"/>
      <c r="L306" s="81">
        <f t="shared" si="55"/>
        <v>0.162</v>
      </c>
      <c r="M306" s="81">
        <f t="shared" si="58"/>
        <v>0.135</v>
      </c>
      <c r="N306" s="82" t="s">
        <v>1048</v>
      </c>
      <c r="O306" s="16"/>
    </row>
    <row r="307" s="6" customFormat="1" ht="32" customHeight="1" spans="1:15">
      <c r="A307" s="81">
        <v>24</v>
      </c>
      <c r="B307" s="81" t="s">
        <v>1284</v>
      </c>
      <c r="C307" s="81" t="s">
        <v>63</v>
      </c>
      <c r="D307" s="16" t="s">
        <v>1336</v>
      </c>
      <c r="E307" s="82" t="s">
        <v>1338</v>
      </c>
      <c r="F307" s="16" t="s">
        <v>1339</v>
      </c>
      <c r="G307" s="82" t="s">
        <v>1340</v>
      </c>
      <c r="H307" s="82" t="s">
        <v>1047</v>
      </c>
      <c r="I307" s="81">
        <v>0.1</v>
      </c>
      <c r="J307" s="81">
        <v>30</v>
      </c>
      <c r="K307" s="16"/>
      <c r="L307" s="81">
        <f t="shared" si="55"/>
        <v>0.162</v>
      </c>
      <c r="M307" s="81">
        <f t="shared" si="58"/>
        <v>0.135</v>
      </c>
      <c r="N307" s="82" t="s">
        <v>1048</v>
      </c>
      <c r="O307" s="16"/>
    </row>
    <row r="308" s="6" customFormat="1" ht="32" customHeight="1" spans="1:15">
      <c r="A308" s="81">
        <v>25</v>
      </c>
      <c r="B308" s="81" t="s">
        <v>1284</v>
      </c>
      <c r="C308" s="81" t="s">
        <v>63</v>
      </c>
      <c r="D308" s="16" t="s">
        <v>1341</v>
      </c>
      <c r="E308" s="82" t="s">
        <v>1342</v>
      </c>
      <c r="F308" s="16" t="s">
        <v>1341</v>
      </c>
      <c r="G308" s="82" t="s">
        <v>1343</v>
      </c>
      <c r="H308" s="82" t="s">
        <v>1047</v>
      </c>
      <c r="I308" s="81">
        <v>0.1</v>
      </c>
      <c r="J308" s="81">
        <v>30</v>
      </c>
      <c r="K308" s="16"/>
      <c r="L308" s="81">
        <f t="shared" si="55"/>
        <v>0.162</v>
      </c>
      <c r="M308" s="81">
        <f t="shared" si="58"/>
        <v>0.135</v>
      </c>
      <c r="N308" s="82" t="s">
        <v>1048</v>
      </c>
      <c r="O308" s="16"/>
    </row>
    <row r="309" s="6" customFormat="1" ht="32" customHeight="1" spans="1:15">
      <c r="A309" s="81">
        <v>26</v>
      </c>
      <c r="B309" s="81" t="s">
        <v>1284</v>
      </c>
      <c r="C309" s="81" t="s">
        <v>63</v>
      </c>
      <c r="D309" s="16" t="s">
        <v>1344</v>
      </c>
      <c r="E309" s="82" t="s">
        <v>1345</v>
      </c>
      <c r="F309" s="16" t="s">
        <v>1344</v>
      </c>
      <c r="G309" s="82" t="s">
        <v>1346</v>
      </c>
      <c r="H309" s="82" t="s">
        <v>1047</v>
      </c>
      <c r="I309" s="81">
        <v>0.1</v>
      </c>
      <c r="J309" s="81">
        <v>30</v>
      </c>
      <c r="K309" s="16"/>
      <c r="L309" s="81">
        <f t="shared" si="55"/>
        <v>0.162</v>
      </c>
      <c r="M309" s="81">
        <f t="shared" si="58"/>
        <v>0.135</v>
      </c>
      <c r="N309" s="82" t="s">
        <v>1048</v>
      </c>
      <c r="O309" s="16"/>
    </row>
    <row r="310" s="6" customFormat="1" ht="32" customHeight="1" spans="1:15">
      <c r="A310" s="81">
        <v>27</v>
      </c>
      <c r="B310" s="81" t="s">
        <v>1284</v>
      </c>
      <c r="C310" s="81" t="s">
        <v>63</v>
      </c>
      <c r="D310" s="16" t="s">
        <v>1347</v>
      </c>
      <c r="E310" s="82" t="s">
        <v>1348</v>
      </c>
      <c r="F310" s="16" t="s">
        <v>1347</v>
      </c>
      <c r="G310" s="82" t="s">
        <v>1349</v>
      </c>
      <c r="H310" s="82" t="s">
        <v>1047</v>
      </c>
      <c r="I310" s="81">
        <v>0.1</v>
      </c>
      <c r="J310" s="81">
        <v>30</v>
      </c>
      <c r="K310" s="16"/>
      <c r="L310" s="81">
        <f t="shared" si="55"/>
        <v>0.162</v>
      </c>
      <c r="M310" s="81">
        <f t="shared" si="58"/>
        <v>0.135</v>
      </c>
      <c r="N310" s="82" t="s">
        <v>1048</v>
      </c>
      <c r="O310" s="16"/>
    </row>
    <row r="311" s="6" customFormat="1" ht="32" customHeight="1" spans="1:15">
      <c r="A311" s="81">
        <v>28</v>
      </c>
      <c r="B311" s="81" t="s">
        <v>1284</v>
      </c>
      <c r="C311" s="81" t="s">
        <v>63</v>
      </c>
      <c r="D311" s="16" t="s">
        <v>1347</v>
      </c>
      <c r="E311" s="82" t="s">
        <v>1350</v>
      </c>
      <c r="F311" s="16" t="s">
        <v>1347</v>
      </c>
      <c r="G311" s="82" t="s">
        <v>1351</v>
      </c>
      <c r="H311" s="82" t="s">
        <v>1047</v>
      </c>
      <c r="I311" s="81">
        <v>0.1</v>
      </c>
      <c r="J311" s="81">
        <v>30</v>
      </c>
      <c r="K311" s="16"/>
      <c r="L311" s="81">
        <f t="shared" si="55"/>
        <v>0.162</v>
      </c>
      <c r="M311" s="81">
        <f t="shared" si="58"/>
        <v>0.135</v>
      </c>
      <c r="N311" s="82" t="s">
        <v>1048</v>
      </c>
      <c r="O311" s="16"/>
    </row>
    <row r="312" s="6" customFormat="1" ht="32" customHeight="1" spans="1:15">
      <c r="A312" s="81">
        <v>29</v>
      </c>
      <c r="B312" s="81" t="s">
        <v>1284</v>
      </c>
      <c r="C312" s="81" t="s">
        <v>63</v>
      </c>
      <c r="D312" s="16" t="s">
        <v>1352</v>
      </c>
      <c r="E312" s="82" t="s">
        <v>1353</v>
      </c>
      <c r="F312" s="16" t="s">
        <v>1352</v>
      </c>
      <c r="G312" s="82" t="s">
        <v>1354</v>
      </c>
      <c r="H312" s="82" t="s">
        <v>1047</v>
      </c>
      <c r="I312" s="81">
        <v>0.1</v>
      </c>
      <c r="J312" s="81">
        <v>30</v>
      </c>
      <c r="K312" s="16"/>
      <c r="L312" s="81">
        <f t="shared" si="55"/>
        <v>0.162</v>
      </c>
      <c r="M312" s="81">
        <f t="shared" si="58"/>
        <v>0.135</v>
      </c>
      <c r="N312" s="82" t="s">
        <v>1048</v>
      </c>
      <c r="O312" s="16"/>
    </row>
    <row r="313" s="6" customFormat="1" ht="32" customHeight="1" spans="1:15">
      <c r="A313" s="81">
        <v>30</v>
      </c>
      <c r="B313" s="81" t="s">
        <v>1284</v>
      </c>
      <c r="C313" s="81" t="s">
        <v>63</v>
      </c>
      <c r="D313" s="16" t="s">
        <v>1355</v>
      </c>
      <c r="E313" s="82" t="s">
        <v>1356</v>
      </c>
      <c r="F313" s="16" t="s">
        <v>1355</v>
      </c>
      <c r="G313" s="82" t="s">
        <v>1357</v>
      </c>
      <c r="H313" s="82" t="s">
        <v>1047</v>
      </c>
      <c r="I313" s="81">
        <v>0.1</v>
      </c>
      <c r="J313" s="81">
        <v>30</v>
      </c>
      <c r="K313" s="16"/>
      <c r="L313" s="81">
        <f t="shared" si="55"/>
        <v>0.162</v>
      </c>
      <c r="M313" s="81">
        <f t="shared" si="58"/>
        <v>0.135</v>
      </c>
      <c r="N313" s="82" t="s">
        <v>1048</v>
      </c>
      <c r="O313" s="16"/>
    </row>
    <row r="314" s="6" customFormat="1" ht="32" customHeight="1" spans="1:15">
      <c r="A314" s="81">
        <v>31</v>
      </c>
      <c r="B314" s="81" t="s">
        <v>1284</v>
      </c>
      <c r="C314" s="81" t="s">
        <v>63</v>
      </c>
      <c r="D314" s="16" t="s">
        <v>1355</v>
      </c>
      <c r="E314" s="82" t="s">
        <v>1358</v>
      </c>
      <c r="F314" s="16" t="s">
        <v>1355</v>
      </c>
      <c r="G314" s="82" t="s">
        <v>1359</v>
      </c>
      <c r="H314" s="82" t="s">
        <v>1047</v>
      </c>
      <c r="I314" s="81">
        <v>0.1</v>
      </c>
      <c r="J314" s="81">
        <v>30</v>
      </c>
      <c r="K314" s="16"/>
      <c r="L314" s="81">
        <f t="shared" si="55"/>
        <v>0.162</v>
      </c>
      <c r="M314" s="81">
        <f t="shared" si="58"/>
        <v>0.135</v>
      </c>
      <c r="N314" s="82" t="s">
        <v>1048</v>
      </c>
      <c r="O314" s="16"/>
    </row>
    <row r="315" s="6" customFormat="1" ht="32" customHeight="1" spans="1:15">
      <c r="A315" s="81">
        <v>32</v>
      </c>
      <c r="B315" s="81" t="s">
        <v>1284</v>
      </c>
      <c r="C315" s="81" t="s">
        <v>63</v>
      </c>
      <c r="D315" s="16" t="s">
        <v>1355</v>
      </c>
      <c r="E315" s="82" t="s">
        <v>1360</v>
      </c>
      <c r="F315" s="16" t="s">
        <v>1355</v>
      </c>
      <c r="G315" s="82" t="s">
        <v>1361</v>
      </c>
      <c r="H315" s="82" t="s">
        <v>1047</v>
      </c>
      <c r="I315" s="81">
        <v>0.1</v>
      </c>
      <c r="J315" s="81">
        <v>30</v>
      </c>
      <c r="K315" s="16"/>
      <c r="L315" s="81">
        <f t="shared" si="55"/>
        <v>0.162</v>
      </c>
      <c r="M315" s="81">
        <f t="shared" si="58"/>
        <v>0.135</v>
      </c>
      <c r="N315" s="82" t="s">
        <v>1048</v>
      </c>
      <c r="O315" s="16"/>
    </row>
    <row r="316" s="6" customFormat="1" ht="32" customHeight="1" spans="1:15">
      <c r="A316" s="81">
        <v>33</v>
      </c>
      <c r="B316" s="81" t="s">
        <v>1284</v>
      </c>
      <c r="C316" s="81" t="s">
        <v>63</v>
      </c>
      <c r="D316" s="16" t="s">
        <v>1355</v>
      </c>
      <c r="E316" s="82" t="s">
        <v>1362</v>
      </c>
      <c r="F316" s="16" t="s">
        <v>1355</v>
      </c>
      <c r="G316" s="82" t="s">
        <v>1363</v>
      </c>
      <c r="H316" s="82" t="s">
        <v>1047</v>
      </c>
      <c r="I316" s="81">
        <v>0.3</v>
      </c>
      <c r="J316" s="81">
        <v>90</v>
      </c>
      <c r="K316" s="16"/>
      <c r="L316" s="81">
        <f t="shared" si="55"/>
        <v>0.486</v>
      </c>
      <c r="M316" s="81">
        <f t="shared" si="58"/>
        <v>0.405</v>
      </c>
      <c r="N316" s="82" t="s">
        <v>1048</v>
      </c>
      <c r="O316" s="16"/>
    </row>
    <row r="317" s="6" customFormat="1" ht="32" customHeight="1" spans="1:15">
      <c r="A317" s="81">
        <v>34</v>
      </c>
      <c r="B317" s="81" t="s">
        <v>1284</v>
      </c>
      <c r="C317" s="81" t="s">
        <v>63</v>
      </c>
      <c r="D317" s="16" t="s">
        <v>1355</v>
      </c>
      <c r="E317" s="82" t="s">
        <v>1364</v>
      </c>
      <c r="F317" s="16" t="s">
        <v>1355</v>
      </c>
      <c r="G317" s="82" t="s">
        <v>1365</v>
      </c>
      <c r="H317" s="82" t="s">
        <v>1047</v>
      </c>
      <c r="I317" s="81">
        <v>0.1</v>
      </c>
      <c r="J317" s="81">
        <v>30</v>
      </c>
      <c r="K317" s="16"/>
      <c r="L317" s="81">
        <f t="shared" si="55"/>
        <v>0.162</v>
      </c>
      <c r="M317" s="81">
        <f t="shared" si="58"/>
        <v>0.135</v>
      </c>
      <c r="N317" s="82" t="s">
        <v>1048</v>
      </c>
      <c r="O317" s="16"/>
    </row>
    <row r="318" s="6" customFormat="1" ht="32" customHeight="1" spans="1:15">
      <c r="A318" s="81">
        <v>35</v>
      </c>
      <c r="B318" s="81" t="s">
        <v>1284</v>
      </c>
      <c r="C318" s="81" t="s">
        <v>63</v>
      </c>
      <c r="D318" s="16" t="s">
        <v>1355</v>
      </c>
      <c r="E318" s="82" t="s">
        <v>1366</v>
      </c>
      <c r="F318" s="16" t="s">
        <v>1355</v>
      </c>
      <c r="G318" s="82" t="s">
        <v>1367</v>
      </c>
      <c r="H318" s="82" t="s">
        <v>1047</v>
      </c>
      <c r="I318" s="81">
        <v>0.1</v>
      </c>
      <c r="J318" s="81">
        <v>30</v>
      </c>
      <c r="K318" s="81"/>
      <c r="L318" s="81">
        <f t="shared" si="55"/>
        <v>0.162</v>
      </c>
      <c r="M318" s="81">
        <f t="shared" si="58"/>
        <v>0.135</v>
      </c>
      <c r="N318" s="82" t="s">
        <v>1048</v>
      </c>
      <c r="O318" s="16"/>
    </row>
    <row r="319" s="6" customFormat="1" ht="32" customHeight="1" spans="1:15">
      <c r="A319" s="81">
        <v>36</v>
      </c>
      <c r="B319" s="81" t="s">
        <v>1284</v>
      </c>
      <c r="C319" s="81" t="s">
        <v>63</v>
      </c>
      <c r="D319" s="16" t="s">
        <v>1344</v>
      </c>
      <c r="E319" s="82" t="s">
        <v>1368</v>
      </c>
      <c r="F319" s="16" t="s">
        <v>1344</v>
      </c>
      <c r="G319" s="82" t="s">
        <v>1369</v>
      </c>
      <c r="H319" s="82" t="s">
        <v>1066</v>
      </c>
      <c r="I319" s="81">
        <v>0.1</v>
      </c>
      <c r="J319" s="81"/>
      <c r="K319" s="81">
        <v>15</v>
      </c>
      <c r="L319" s="81">
        <f t="shared" si="55"/>
        <v>0.081</v>
      </c>
      <c r="M319" s="81">
        <f t="shared" ref="M319:M326" si="59">K319*45/10000</f>
        <v>0.0675</v>
      </c>
      <c r="N319" s="82" t="s">
        <v>1048</v>
      </c>
      <c r="O319" s="16"/>
    </row>
    <row r="320" s="6" customFormat="1" ht="32" customHeight="1" spans="1:15">
      <c r="A320" s="81">
        <v>37</v>
      </c>
      <c r="B320" s="81" t="s">
        <v>1284</v>
      </c>
      <c r="C320" s="81" t="s">
        <v>63</v>
      </c>
      <c r="D320" s="16" t="s">
        <v>1344</v>
      </c>
      <c r="E320" s="82" t="s">
        <v>1370</v>
      </c>
      <c r="F320" s="16" t="s">
        <v>1344</v>
      </c>
      <c r="G320" s="82" t="s">
        <v>1371</v>
      </c>
      <c r="H320" s="82" t="s">
        <v>1066</v>
      </c>
      <c r="I320" s="81">
        <v>0.2</v>
      </c>
      <c r="J320" s="81"/>
      <c r="K320" s="81">
        <v>30</v>
      </c>
      <c r="L320" s="81">
        <f t="shared" si="55"/>
        <v>0.162</v>
      </c>
      <c r="M320" s="81">
        <f t="shared" si="59"/>
        <v>0.135</v>
      </c>
      <c r="N320" s="82" t="s">
        <v>1048</v>
      </c>
      <c r="O320" s="16"/>
    </row>
    <row r="321" s="6" customFormat="1" ht="32" customHeight="1" spans="1:15">
      <c r="A321" s="81">
        <v>38</v>
      </c>
      <c r="B321" s="81" t="s">
        <v>1284</v>
      </c>
      <c r="C321" s="81" t="s">
        <v>63</v>
      </c>
      <c r="D321" s="16" t="s">
        <v>1344</v>
      </c>
      <c r="E321" s="82" t="s">
        <v>1372</v>
      </c>
      <c r="F321" s="16" t="s">
        <v>1344</v>
      </c>
      <c r="G321" s="82" t="s">
        <v>1373</v>
      </c>
      <c r="H321" s="82" t="s">
        <v>1066</v>
      </c>
      <c r="I321" s="81">
        <v>0.15</v>
      </c>
      <c r="J321" s="81"/>
      <c r="K321" s="81">
        <v>22.5</v>
      </c>
      <c r="L321" s="81">
        <f t="shared" si="55"/>
        <v>0.1215</v>
      </c>
      <c r="M321" s="81">
        <f t="shared" si="59"/>
        <v>0.10125</v>
      </c>
      <c r="N321" s="82" t="s">
        <v>1048</v>
      </c>
      <c r="O321" s="16"/>
    </row>
    <row r="322" s="6" customFormat="1" ht="32" customHeight="1" spans="1:15">
      <c r="A322" s="81">
        <v>39</v>
      </c>
      <c r="B322" s="81" t="s">
        <v>1284</v>
      </c>
      <c r="C322" s="81" t="s">
        <v>63</v>
      </c>
      <c r="D322" s="16" t="s">
        <v>1344</v>
      </c>
      <c r="E322" s="82" t="s">
        <v>1335</v>
      </c>
      <c r="F322" s="16" t="s">
        <v>1344</v>
      </c>
      <c r="G322" s="82" t="s">
        <v>1374</v>
      </c>
      <c r="H322" s="82" t="s">
        <v>1066</v>
      </c>
      <c r="I322" s="81">
        <v>0.3</v>
      </c>
      <c r="J322" s="81"/>
      <c r="K322" s="81">
        <v>45</v>
      </c>
      <c r="L322" s="81">
        <f t="shared" si="55"/>
        <v>0.243</v>
      </c>
      <c r="M322" s="81">
        <f t="shared" si="59"/>
        <v>0.2025</v>
      </c>
      <c r="N322" s="82" t="s">
        <v>1048</v>
      </c>
      <c r="O322" s="16"/>
    </row>
    <row r="323" s="6" customFormat="1" ht="32" customHeight="1" spans="1:15">
      <c r="A323" s="81">
        <v>40</v>
      </c>
      <c r="B323" s="81" t="s">
        <v>1284</v>
      </c>
      <c r="C323" s="81" t="s">
        <v>63</v>
      </c>
      <c r="D323" s="16" t="s">
        <v>1344</v>
      </c>
      <c r="E323" s="82" t="s">
        <v>1375</v>
      </c>
      <c r="F323" s="16" t="s">
        <v>1344</v>
      </c>
      <c r="G323" s="82" t="s">
        <v>1376</v>
      </c>
      <c r="H323" s="82" t="s">
        <v>1066</v>
      </c>
      <c r="I323" s="81">
        <v>0.1</v>
      </c>
      <c r="J323" s="81"/>
      <c r="K323" s="81">
        <v>15</v>
      </c>
      <c r="L323" s="81">
        <f t="shared" si="55"/>
        <v>0.081</v>
      </c>
      <c r="M323" s="81">
        <f t="shared" si="59"/>
        <v>0.0675</v>
      </c>
      <c r="N323" s="82" t="s">
        <v>1048</v>
      </c>
      <c r="O323" s="16"/>
    </row>
    <row r="324" s="6" customFormat="1" ht="32" customHeight="1" spans="1:15">
      <c r="A324" s="81">
        <v>41</v>
      </c>
      <c r="B324" s="81" t="s">
        <v>1284</v>
      </c>
      <c r="C324" s="81" t="s">
        <v>63</v>
      </c>
      <c r="D324" s="16" t="s">
        <v>1344</v>
      </c>
      <c r="E324" s="82" t="s">
        <v>1377</v>
      </c>
      <c r="F324" s="16" t="s">
        <v>1344</v>
      </c>
      <c r="G324" s="82" t="s">
        <v>1378</v>
      </c>
      <c r="H324" s="82" t="s">
        <v>1066</v>
      </c>
      <c r="I324" s="81">
        <v>0.2</v>
      </c>
      <c r="J324" s="81"/>
      <c r="K324" s="81">
        <v>30</v>
      </c>
      <c r="L324" s="81">
        <f t="shared" si="55"/>
        <v>0.162</v>
      </c>
      <c r="M324" s="81">
        <f t="shared" si="59"/>
        <v>0.135</v>
      </c>
      <c r="N324" s="82" t="s">
        <v>1048</v>
      </c>
      <c r="O324" s="16"/>
    </row>
    <row r="325" s="6" customFormat="1" ht="32" customHeight="1" spans="1:15">
      <c r="A325" s="81">
        <v>42</v>
      </c>
      <c r="B325" s="81" t="s">
        <v>1284</v>
      </c>
      <c r="C325" s="81" t="s">
        <v>63</v>
      </c>
      <c r="D325" s="16" t="s">
        <v>1344</v>
      </c>
      <c r="E325" s="82" t="s">
        <v>1379</v>
      </c>
      <c r="F325" s="16" t="s">
        <v>1344</v>
      </c>
      <c r="G325" s="82" t="s">
        <v>1380</v>
      </c>
      <c r="H325" s="82" t="s">
        <v>1066</v>
      </c>
      <c r="I325" s="81">
        <v>0.3</v>
      </c>
      <c r="J325" s="81"/>
      <c r="K325" s="81">
        <v>45</v>
      </c>
      <c r="L325" s="81">
        <f t="shared" si="55"/>
        <v>0.243</v>
      </c>
      <c r="M325" s="81">
        <f t="shared" si="59"/>
        <v>0.2025</v>
      </c>
      <c r="N325" s="82" t="s">
        <v>1048</v>
      </c>
      <c r="O325" s="16"/>
    </row>
    <row r="326" s="6" customFormat="1" ht="32" customHeight="1" spans="1:15">
      <c r="A326" s="81">
        <v>43</v>
      </c>
      <c r="B326" s="81" t="s">
        <v>1284</v>
      </c>
      <c r="C326" s="81" t="s">
        <v>63</v>
      </c>
      <c r="D326" s="16" t="s">
        <v>1347</v>
      </c>
      <c r="E326" s="82" t="s">
        <v>1381</v>
      </c>
      <c r="F326" s="16" t="s">
        <v>1347</v>
      </c>
      <c r="G326" s="82" t="s">
        <v>1382</v>
      </c>
      <c r="H326" s="82" t="s">
        <v>1066</v>
      </c>
      <c r="I326" s="81">
        <v>0.3</v>
      </c>
      <c r="J326" s="81"/>
      <c r="K326" s="81">
        <v>45</v>
      </c>
      <c r="L326" s="81">
        <f t="shared" si="55"/>
        <v>0.243</v>
      </c>
      <c r="M326" s="81">
        <f t="shared" si="59"/>
        <v>0.2025</v>
      </c>
      <c r="N326" s="82" t="s">
        <v>1048</v>
      </c>
      <c r="O326" s="16"/>
    </row>
    <row r="327" s="6" customFormat="1" ht="32" customHeight="1" spans="1:15">
      <c r="A327" s="81">
        <v>44</v>
      </c>
      <c r="B327" s="81" t="s">
        <v>1284</v>
      </c>
      <c r="C327" s="81" t="s">
        <v>63</v>
      </c>
      <c r="D327" s="16" t="s">
        <v>1344</v>
      </c>
      <c r="E327" s="81" t="s">
        <v>1383</v>
      </c>
      <c r="F327" s="16" t="s">
        <v>1344</v>
      </c>
      <c r="G327" s="81" t="s">
        <v>1383</v>
      </c>
      <c r="H327" s="82" t="s">
        <v>1047</v>
      </c>
      <c r="I327" s="81">
        <v>0.1</v>
      </c>
      <c r="J327" s="81">
        <v>30</v>
      </c>
      <c r="K327" s="16"/>
      <c r="L327" s="81">
        <f t="shared" si="55"/>
        <v>0.162</v>
      </c>
      <c r="M327" s="81">
        <f t="shared" ref="M327:M348" si="60">J327*45/10000</f>
        <v>0.135</v>
      </c>
      <c r="N327" s="82" t="s">
        <v>1048</v>
      </c>
      <c r="O327" s="16"/>
    </row>
    <row r="328" s="6" customFormat="1" ht="32" customHeight="1" spans="1:15">
      <c r="A328" s="81">
        <v>45</v>
      </c>
      <c r="B328" s="81" t="s">
        <v>1284</v>
      </c>
      <c r="C328" s="81" t="s">
        <v>63</v>
      </c>
      <c r="D328" s="16" t="s">
        <v>1344</v>
      </c>
      <c r="E328" s="81" t="s">
        <v>1384</v>
      </c>
      <c r="F328" s="16" t="s">
        <v>1344</v>
      </c>
      <c r="G328" s="81" t="s">
        <v>1384</v>
      </c>
      <c r="H328" s="82" t="s">
        <v>1047</v>
      </c>
      <c r="I328" s="81">
        <v>0.1</v>
      </c>
      <c r="J328" s="81">
        <v>30</v>
      </c>
      <c r="K328" s="16"/>
      <c r="L328" s="81">
        <f t="shared" si="55"/>
        <v>0.162</v>
      </c>
      <c r="M328" s="81">
        <f t="shared" si="60"/>
        <v>0.135</v>
      </c>
      <c r="N328" s="82" t="s">
        <v>1048</v>
      </c>
      <c r="O328" s="16"/>
    </row>
    <row r="329" s="6" customFormat="1" ht="32" customHeight="1" spans="1:15">
      <c r="A329" s="81">
        <v>46</v>
      </c>
      <c r="B329" s="81" t="s">
        <v>1284</v>
      </c>
      <c r="C329" s="81" t="s">
        <v>63</v>
      </c>
      <c r="D329" s="16" t="s">
        <v>1344</v>
      </c>
      <c r="E329" s="81" t="s">
        <v>1385</v>
      </c>
      <c r="F329" s="16" t="s">
        <v>1344</v>
      </c>
      <c r="G329" s="81" t="s">
        <v>1385</v>
      </c>
      <c r="H329" s="82" t="s">
        <v>1047</v>
      </c>
      <c r="I329" s="81">
        <v>0.1</v>
      </c>
      <c r="J329" s="81">
        <v>30</v>
      </c>
      <c r="K329" s="16"/>
      <c r="L329" s="81">
        <f t="shared" si="55"/>
        <v>0.162</v>
      </c>
      <c r="M329" s="81">
        <f t="shared" si="60"/>
        <v>0.135</v>
      </c>
      <c r="N329" s="82" t="s">
        <v>1048</v>
      </c>
      <c r="O329" s="16"/>
    </row>
    <row r="330" s="6" customFormat="1" ht="32" customHeight="1" spans="1:15">
      <c r="A330" s="81">
        <v>47</v>
      </c>
      <c r="B330" s="81" t="s">
        <v>1284</v>
      </c>
      <c r="C330" s="81" t="s">
        <v>63</v>
      </c>
      <c r="D330" s="16" t="s">
        <v>1344</v>
      </c>
      <c r="E330" s="81" t="s">
        <v>1375</v>
      </c>
      <c r="F330" s="16" t="s">
        <v>1344</v>
      </c>
      <c r="G330" s="81" t="s">
        <v>1375</v>
      </c>
      <c r="H330" s="82" t="s">
        <v>1047</v>
      </c>
      <c r="I330" s="81">
        <v>0.1</v>
      </c>
      <c r="J330" s="81">
        <v>30</v>
      </c>
      <c r="K330" s="16"/>
      <c r="L330" s="81">
        <f t="shared" si="55"/>
        <v>0.162</v>
      </c>
      <c r="M330" s="81">
        <f t="shared" si="60"/>
        <v>0.135</v>
      </c>
      <c r="N330" s="82" t="s">
        <v>1048</v>
      </c>
      <c r="O330" s="16"/>
    </row>
    <row r="331" s="6" customFormat="1" ht="32" customHeight="1" spans="1:15">
      <c r="A331" s="81">
        <v>48</v>
      </c>
      <c r="B331" s="81" t="s">
        <v>1284</v>
      </c>
      <c r="C331" s="81" t="s">
        <v>63</v>
      </c>
      <c r="D331" s="16" t="s">
        <v>1344</v>
      </c>
      <c r="E331" s="81" t="s">
        <v>1386</v>
      </c>
      <c r="F331" s="16" t="s">
        <v>1341</v>
      </c>
      <c r="G331" s="81" t="s">
        <v>1387</v>
      </c>
      <c r="H331" s="82" t="s">
        <v>1047</v>
      </c>
      <c r="I331" s="81">
        <v>0.1</v>
      </c>
      <c r="J331" s="81">
        <v>30</v>
      </c>
      <c r="K331" s="16"/>
      <c r="L331" s="81">
        <f t="shared" si="55"/>
        <v>0.162</v>
      </c>
      <c r="M331" s="81">
        <f t="shared" si="60"/>
        <v>0.135</v>
      </c>
      <c r="N331" s="82" t="s">
        <v>1048</v>
      </c>
      <c r="O331" s="16"/>
    </row>
    <row r="332" s="6" customFormat="1" ht="32" customHeight="1" spans="1:15">
      <c r="A332" s="81">
        <v>49</v>
      </c>
      <c r="B332" s="81" t="s">
        <v>1284</v>
      </c>
      <c r="C332" s="81" t="s">
        <v>63</v>
      </c>
      <c r="D332" s="16" t="s">
        <v>1344</v>
      </c>
      <c r="E332" s="81" t="s">
        <v>1388</v>
      </c>
      <c r="F332" s="16" t="s">
        <v>1344</v>
      </c>
      <c r="G332" s="81" t="s">
        <v>1388</v>
      </c>
      <c r="H332" s="82" t="s">
        <v>1047</v>
      </c>
      <c r="I332" s="81">
        <v>0.1</v>
      </c>
      <c r="J332" s="81">
        <v>30</v>
      </c>
      <c r="K332" s="16"/>
      <c r="L332" s="81">
        <f t="shared" si="55"/>
        <v>0.162</v>
      </c>
      <c r="M332" s="81">
        <f t="shared" si="60"/>
        <v>0.135</v>
      </c>
      <c r="N332" s="82" t="s">
        <v>1048</v>
      </c>
      <c r="O332" s="16"/>
    </row>
    <row r="333" s="6" customFormat="1" ht="32" customHeight="1" spans="1:15">
      <c r="A333" s="81">
        <v>50</v>
      </c>
      <c r="B333" s="81" t="s">
        <v>1284</v>
      </c>
      <c r="C333" s="81" t="s">
        <v>63</v>
      </c>
      <c r="D333" s="16" t="s">
        <v>1347</v>
      </c>
      <c r="E333" s="81" t="s">
        <v>1389</v>
      </c>
      <c r="F333" s="16" t="s">
        <v>1347</v>
      </c>
      <c r="G333" s="81" t="s">
        <v>1389</v>
      </c>
      <c r="H333" s="82" t="s">
        <v>1047</v>
      </c>
      <c r="I333" s="81">
        <v>0.1</v>
      </c>
      <c r="J333" s="81">
        <v>30</v>
      </c>
      <c r="K333" s="16"/>
      <c r="L333" s="81">
        <f t="shared" si="55"/>
        <v>0.162</v>
      </c>
      <c r="M333" s="81">
        <f t="shared" si="60"/>
        <v>0.135</v>
      </c>
      <c r="N333" s="82" t="s">
        <v>1048</v>
      </c>
      <c r="O333" s="16"/>
    </row>
    <row r="334" s="6" customFormat="1" ht="32" customHeight="1" spans="1:15">
      <c r="A334" s="81">
        <v>51</v>
      </c>
      <c r="B334" s="81" t="s">
        <v>1284</v>
      </c>
      <c r="C334" s="81" t="s">
        <v>63</v>
      </c>
      <c r="D334" s="16" t="s">
        <v>1347</v>
      </c>
      <c r="E334" s="81" t="s">
        <v>1390</v>
      </c>
      <c r="F334" s="16" t="s">
        <v>1347</v>
      </c>
      <c r="G334" s="81" t="s">
        <v>1390</v>
      </c>
      <c r="H334" s="82" t="s">
        <v>1047</v>
      </c>
      <c r="I334" s="81">
        <v>0.1</v>
      </c>
      <c r="J334" s="81">
        <v>30</v>
      </c>
      <c r="K334" s="16"/>
      <c r="L334" s="81">
        <f t="shared" si="55"/>
        <v>0.162</v>
      </c>
      <c r="M334" s="81">
        <f t="shared" si="60"/>
        <v>0.135</v>
      </c>
      <c r="N334" s="82" t="s">
        <v>1048</v>
      </c>
      <c r="O334" s="16"/>
    </row>
    <row r="335" s="6" customFormat="1" ht="32" customHeight="1" spans="1:15">
      <c r="A335" s="81">
        <v>52</v>
      </c>
      <c r="B335" s="81" t="s">
        <v>1284</v>
      </c>
      <c r="C335" s="81" t="s">
        <v>63</v>
      </c>
      <c r="D335" s="16" t="s">
        <v>1355</v>
      </c>
      <c r="E335" s="81" t="s">
        <v>1391</v>
      </c>
      <c r="F335" s="16" t="s">
        <v>1355</v>
      </c>
      <c r="G335" s="81" t="s">
        <v>1391</v>
      </c>
      <c r="H335" s="82" t="s">
        <v>1047</v>
      </c>
      <c r="I335" s="81">
        <v>0.1</v>
      </c>
      <c r="J335" s="81">
        <v>30</v>
      </c>
      <c r="K335" s="16"/>
      <c r="L335" s="81">
        <f t="shared" si="55"/>
        <v>0.162</v>
      </c>
      <c r="M335" s="81">
        <f t="shared" si="60"/>
        <v>0.135</v>
      </c>
      <c r="N335" s="82" t="s">
        <v>1048</v>
      </c>
      <c r="O335" s="16"/>
    </row>
    <row r="336" s="6" customFormat="1" ht="32" customHeight="1" spans="1:15">
      <c r="A336" s="81">
        <v>53</v>
      </c>
      <c r="B336" s="81" t="s">
        <v>1284</v>
      </c>
      <c r="C336" s="81" t="s">
        <v>63</v>
      </c>
      <c r="D336" s="16" t="s">
        <v>1355</v>
      </c>
      <c r="E336" s="81" t="s">
        <v>1392</v>
      </c>
      <c r="F336" s="16" t="s">
        <v>1355</v>
      </c>
      <c r="G336" s="81" t="s">
        <v>1392</v>
      </c>
      <c r="H336" s="82" t="s">
        <v>1047</v>
      </c>
      <c r="I336" s="81">
        <v>0.1</v>
      </c>
      <c r="J336" s="81">
        <v>30</v>
      </c>
      <c r="K336" s="16"/>
      <c r="L336" s="81">
        <f t="shared" si="55"/>
        <v>0.162</v>
      </c>
      <c r="M336" s="81">
        <f t="shared" si="60"/>
        <v>0.135</v>
      </c>
      <c r="N336" s="82" t="s">
        <v>1048</v>
      </c>
      <c r="O336" s="16"/>
    </row>
    <row r="337" s="6" customFormat="1" ht="32" customHeight="1" spans="1:15">
      <c r="A337" s="81">
        <v>54</v>
      </c>
      <c r="B337" s="81" t="s">
        <v>1284</v>
      </c>
      <c r="C337" s="81" t="s">
        <v>63</v>
      </c>
      <c r="D337" s="16" t="s">
        <v>1355</v>
      </c>
      <c r="E337" s="81" t="s">
        <v>1367</v>
      </c>
      <c r="F337" s="16" t="s">
        <v>1355</v>
      </c>
      <c r="G337" s="61" t="s">
        <v>1367</v>
      </c>
      <c r="H337" s="82" t="s">
        <v>1047</v>
      </c>
      <c r="I337" s="81">
        <v>0.1</v>
      </c>
      <c r="J337" s="81">
        <v>30</v>
      </c>
      <c r="K337" s="16"/>
      <c r="L337" s="81">
        <f t="shared" si="55"/>
        <v>0.162</v>
      </c>
      <c r="M337" s="81">
        <f t="shared" si="60"/>
        <v>0.135</v>
      </c>
      <c r="N337" s="82" t="s">
        <v>1048</v>
      </c>
      <c r="O337" s="16"/>
    </row>
    <row r="338" s="6" customFormat="1" ht="32" customHeight="1" spans="1:15">
      <c r="A338" s="81">
        <v>55</v>
      </c>
      <c r="B338" s="81" t="s">
        <v>1284</v>
      </c>
      <c r="C338" s="81" t="s">
        <v>435</v>
      </c>
      <c r="D338" s="84" t="s">
        <v>1393</v>
      </c>
      <c r="E338" s="40" t="s">
        <v>1394</v>
      </c>
      <c r="F338" s="84" t="s">
        <v>1393</v>
      </c>
      <c r="G338" s="82" t="s">
        <v>1395</v>
      </c>
      <c r="H338" s="82" t="s">
        <v>1047</v>
      </c>
      <c r="I338" s="81">
        <v>0.2</v>
      </c>
      <c r="J338" s="81">
        <v>60</v>
      </c>
      <c r="K338" s="16"/>
      <c r="L338" s="81">
        <f t="shared" si="55"/>
        <v>0.324</v>
      </c>
      <c r="M338" s="81">
        <f t="shared" si="60"/>
        <v>0.27</v>
      </c>
      <c r="N338" s="82" t="s">
        <v>1048</v>
      </c>
      <c r="O338" s="16"/>
    </row>
    <row r="339" s="6" customFormat="1" ht="32" customHeight="1" spans="1:15">
      <c r="A339" s="81">
        <v>56</v>
      </c>
      <c r="B339" s="81" t="s">
        <v>1284</v>
      </c>
      <c r="C339" s="81" t="s">
        <v>435</v>
      </c>
      <c r="D339" s="16" t="s">
        <v>1396</v>
      </c>
      <c r="E339" s="82" t="s">
        <v>1397</v>
      </c>
      <c r="F339" s="16" t="s">
        <v>1396</v>
      </c>
      <c r="G339" s="82" t="s">
        <v>1398</v>
      </c>
      <c r="H339" s="82" t="s">
        <v>1047</v>
      </c>
      <c r="I339" s="81">
        <v>0.1</v>
      </c>
      <c r="J339" s="81">
        <v>30</v>
      </c>
      <c r="K339" s="16"/>
      <c r="L339" s="81">
        <f t="shared" si="55"/>
        <v>0.162</v>
      </c>
      <c r="M339" s="81">
        <f t="shared" si="60"/>
        <v>0.135</v>
      </c>
      <c r="N339" s="82" t="s">
        <v>1048</v>
      </c>
      <c r="O339" s="16"/>
    </row>
    <row r="340" s="6" customFormat="1" ht="32" customHeight="1" spans="1:15">
      <c r="A340" s="81">
        <v>57</v>
      </c>
      <c r="B340" s="81" t="s">
        <v>1284</v>
      </c>
      <c r="C340" s="81" t="s">
        <v>435</v>
      </c>
      <c r="D340" s="16" t="s">
        <v>1399</v>
      </c>
      <c r="E340" s="82" t="s">
        <v>1400</v>
      </c>
      <c r="F340" s="16" t="s">
        <v>1399</v>
      </c>
      <c r="G340" s="82" t="s">
        <v>1401</v>
      </c>
      <c r="H340" s="82" t="s">
        <v>1047</v>
      </c>
      <c r="I340" s="81">
        <v>0.1</v>
      </c>
      <c r="J340" s="81">
        <v>30</v>
      </c>
      <c r="K340" s="16"/>
      <c r="L340" s="81">
        <f t="shared" si="55"/>
        <v>0.162</v>
      </c>
      <c r="M340" s="81">
        <f t="shared" si="60"/>
        <v>0.135</v>
      </c>
      <c r="N340" s="82" t="s">
        <v>1048</v>
      </c>
      <c r="O340" s="16"/>
    </row>
    <row r="341" s="6" customFormat="1" ht="32" customHeight="1" spans="1:15">
      <c r="A341" s="81">
        <v>58</v>
      </c>
      <c r="B341" s="81" t="s">
        <v>1284</v>
      </c>
      <c r="C341" s="81" t="s">
        <v>435</v>
      </c>
      <c r="D341" s="16" t="s">
        <v>1402</v>
      </c>
      <c r="E341" s="82" t="s">
        <v>1403</v>
      </c>
      <c r="F341" s="16" t="s">
        <v>1402</v>
      </c>
      <c r="G341" s="82" t="s">
        <v>1404</v>
      </c>
      <c r="H341" s="82" t="s">
        <v>1047</v>
      </c>
      <c r="I341" s="81">
        <v>0.1</v>
      </c>
      <c r="J341" s="81">
        <v>30</v>
      </c>
      <c r="K341" s="16"/>
      <c r="L341" s="81">
        <f t="shared" si="55"/>
        <v>0.162</v>
      </c>
      <c r="M341" s="81">
        <f t="shared" si="60"/>
        <v>0.135</v>
      </c>
      <c r="N341" s="82" t="s">
        <v>1048</v>
      </c>
      <c r="O341" s="16"/>
    </row>
    <row r="342" s="6" customFormat="1" ht="32" customHeight="1" spans="1:15">
      <c r="A342" s="81">
        <v>59</v>
      </c>
      <c r="B342" s="81" t="s">
        <v>1284</v>
      </c>
      <c r="C342" s="81" t="s">
        <v>435</v>
      </c>
      <c r="D342" s="16" t="s">
        <v>1405</v>
      </c>
      <c r="E342" s="82" t="s">
        <v>1406</v>
      </c>
      <c r="F342" s="16" t="s">
        <v>1405</v>
      </c>
      <c r="G342" s="82" t="s">
        <v>1407</v>
      </c>
      <c r="H342" s="82" t="s">
        <v>1047</v>
      </c>
      <c r="I342" s="81">
        <v>0.1</v>
      </c>
      <c r="J342" s="81">
        <v>30</v>
      </c>
      <c r="K342" s="16"/>
      <c r="L342" s="81">
        <f t="shared" si="55"/>
        <v>0.162</v>
      </c>
      <c r="M342" s="81">
        <f t="shared" si="60"/>
        <v>0.135</v>
      </c>
      <c r="N342" s="82" t="s">
        <v>1048</v>
      </c>
      <c r="O342" s="16"/>
    </row>
    <row r="343" s="6" customFormat="1" ht="32" customHeight="1" spans="1:15">
      <c r="A343" s="81">
        <v>60</v>
      </c>
      <c r="B343" s="81" t="s">
        <v>1284</v>
      </c>
      <c r="C343" s="81" t="s">
        <v>435</v>
      </c>
      <c r="D343" s="16" t="s">
        <v>1408</v>
      </c>
      <c r="E343" s="82" t="s">
        <v>1409</v>
      </c>
      <c r="F343" s="16" t="s">
        <v>1408</v>
      </c>
      <c r="G343" s="82" t="s">
        <v>1410</v>
      </c>
      <c r="H343" s="82" t="s">
        <v>1047</v>
      </c>
      <c r="I343" s="81">
        <v>0.1</v>
      </c>
      <c r="J343" s="81">
        <v>30</v>
      </c>
      <c r="K343" s="16"/>
      <c r="L343" s="81">
        <f t="shared" si="55"/>
        <v>0.162</v>
      </c>
      <c r="M343" s="81">
        <f t="shared" si="60"/>
        <v>0.135</v>
      </c>
      <c r="N343" s="82" t="s">
        <v>1048</v>
      </c>
      <c r="O343" s="16"/>
    </row>
    <row r="344" s="6" customFormat="1" ht="32" customHeight="1" spans="1:15">
      <c r="A344" s="81">
        <v>61</v>
      </c>
      <c r="B344" s="81" t="s">
        <v>1284</v>
      </c>
      <c r="C344" s="81" t="s">
        <v>435</v>
      </c>
      <c r="D344" s="16" t="s">
        <v>1408</v>
      </c>
      <c r="E344" s="82" t="s">
        <v>1411</v>
      </c>
      <c r="F344" s="16" t="s">
        <v>1408</v>
      </c>
      <c r="G344" s="82" t="s">
        <v>1412</v>
      </c>
      <c r="H344" s="82" t="s">
        <v>1047</v>
      </c>
      <c r="I344" s="81">
        <v>0.1</v>
      </c>
      <c r="J344" s="81">
        <v>30</v>
      </c>
      <c r="K344" s="16"/>
      <c r="L344" s="81">
        <f t="shared" si="55"/>
        <v>0.162</v>
      </c>
      <c r="M344" s="81">
        <f t="shared" si="60"/>
        <v>0.135</v>
      </c>
      <c r="N344" s="82" t="s">
        <v>1048</v>
      </c>
      <c r="O344" s="16"/>
    </row>
    <row r="345" s="6" customFormat="1" ht="32" customHeight="1" spans="1:15">
      <c r="A345" s="81">
        <v>62</v>
      </c>
      <c r="B345" s="81" t="s">
        <v>1284</v>
      </c>
      <c r="C345" s="81" t="s">
        <v>435</v>
      </c>
      <c r="D345" s="16" t="s">
        <v>1413</v>
      </c>
      <c r="E345" s="82" t="s">
        <v>1414</v>
      </c>
      <c r="F345" s="16" t="s">
        <v>1413</v>
      </c>
      <c r="G345" s="82" t="s">
        <v>1415</v>
      </c>
      <c r="H345" s="82" t="s">
        <v>1047</v>
      </c>
      <c r="I345" s="81">
        <v>0.1</v>
      </c>
      <c r="J345" s="81">
        <v>30</v>
      </c>
      <c r="K345" s="16"/>
      <c r="L345" s="81">
        <f t="shared" si="55"/>
        <v>0.162</v>
      </c>
      <c r="M345" s="81">
        <f t="shared" si="60"/>
        <v>0.135</v>
      </c>
      <c r="N345" s="82" t="s">
        <v>1048</v>
      </c>
      <c r="O345" s="16"/>
    </row>
    <row r="346" s="6" customFormat="1" ht="32" customHeight="1" spans="1:15">
      <c r="A346" s="81">
        <v>63</v>
      </c>
      <c r="B346" s="81" t="s">
        <v>1284</v>
      </c>
      <c r="C346" s="81" t="s">
        <v>435</v>
      </c>
      <c r="D346" s="16" t="s">
        <v>1413</v>
      </c>
      <c r="E346" s="82" t="s">
        <v>1416</v>
      </c>
      <c r="F346" s="16" t="s">
        <v>1413</v>
      </c>
      <c r="G346" s="82" t="s">
        <v>1417</v>
      </c>
      <c r="H346" s="82" t="s">
        <v>1047</v>
      </c>
      <c r="I346" s="81">
        <v>0.2</v>
      </c>
      <c r="J346" s="81">
        <v>60</v>
      </c>
      <c r="K346" s="16"/>
      <c r="L346" s="81">
        <f t="shared" si="55"/>
        <v>0.324</v>
      </c>
      <c r="M346" s="81">
        <f t="shared" si="60"/>
        <v>0.27</v>
      </c>
      <c r="N346" s="82" t="s">
        <v>1048</v>
      </c>
      <c r="O346" s="16"/>
    </row>
    <row r="347" s="6" customFormat="1" ht="32" customHeight="1" spans="1:15">
      <c r="A347" s="81">
        <v>64</v>
      </c>
      <c r="B347" s="81" t="s">
        <v>1284</v>
      </c>
      <c r="C347" s="81" t="s">
        <v>435</v>
      </c>
      <c r="D347" s="16" t="s">
        <v>1418</v>
      </c>
      <c r="E347" s="82" t="s">
        <v>1419</v>
      </c>
      <c r="F347" s="16" t="s">
        <v>1418</v>
      </c>
      <c r="G347" s="82" t="s">
        <v>1420</v>
      </c>
      <c r="H347" s="82" t="s">
        <v>1047</v>
      </c>
      <c r="I347" s="81">
        <v>0.1</v>
      </c>
      <c r="J347" s="81">
        <v>30</v>
      </c>
      <c r="K347" s="16"/>
      <c r="L347" s="81">
        <f t="shared" si="55"/>
        <v>0.162</v>
      </c>
      <c r="M347" s="81">
        <f t="shared" si="60"/>
        <v>0.135</v>
      </c>
      <c r="N347" s="82" t="s">
        <v>1048</v>
      </c>
      <c r="O347" s="16"/>
    </row>
    <row r="348" s="6" customFormat="1" ht="32" customHeight="1" spans="1:15">
      <c r="A348" s="82">
        <v>65</v>
      </c>
      <c r="B348" s="82" t="s">
        <v>1284</v>
      </c>
      <c r="C348" s="82" t="s">
        <v>435</v>
      </c>
      <c r="D348" s="16" t="s">
        <v>1421</v>
      </c>
      <c r="E348" s="82" t="s">
        <v>1422</v>
      </c>
      <c r="F348" s="16" t="s">
        <v>1421</v>
      </c>
      <c r="G348" s="40" t="s">
        <v>1423</v>
      </c>
      <c r="H348" s="82" t="s">
        <v>1047</v>
      </c>
      <c r="I348" s="82">
        <v>0.1</v>
      </c>
      <c r="J348" s="82">
        <v>30</v>
      </c>
      <c r="K348" s="90"/>
      <c r="L348" s="82">
        <f t="shared" ref="L348:L405" si="61">M348*1.2</f>
        <v>0.162</v>
      </c>
      <c r="M348" s="81">
        <f t="shared" si="60"/>
        <v>0.135</v>
      </c>
      <c r="N348" s="82" t="s">
        <v>1048</v>
      </c>
      <c r="O348" s="16"/>
    </row>
    <row r="349" s="5" customFormat="1" ht="32" customHeight="1" spans="1:15">
      <c r="A349" s="85" t="s">
        <v>318</v>
      </c>
      <c r="B349" s="86"/>
      <c r="C349" s="86"/>
      <c r="D349" s="79"/>
      <c r="E349" s="86"/>
      <c r="F349" s="79"/>
      <c r="G349" s="87"/>
      <c r="H349" s="88"/>
      <c r="I349" s="88">
        <f t="shared" ref="I349:M349" si="62">SUM(I350:I405)</f>
        <v>7.92</v>
      </c>
      <c r="J349" s="88">
        <f t="shared" si="62"/>
        <v>2316</v>
      </c>
      <c r="K349" s="88">
        <f t="shared" si="62"/>
        <v>45</v>
      </c>
      <c r="L349" s="88">
        <f t="shared" si="62"/>
        <v>12.7494</v>
      </c>
      <c r="M349" s="88">
        <f t="shared" si="62"/>
        <v>10.6245</v>
      </c>
      <c r="N349" s="88"/>
      <c r="O349" s="15"/>
    </row>
    <row r="350" s="6" customFormat="1" ht="31" customHeight="1" spans="1:15">
      <c r="A350" s="16">
        <v>1</v>
      </c>
      <c r="B350" s="16" t="s">
        <v>318</v>
      </c>
      <c r="C350" s="40" t="s">
        <v>281</v>
      </c>
      <c r="D350" s="40" t="s">
        <v>1424</v>
      </c>
      <c r="E350" s="24">
        <v>20.7</v>
      </c>
      <c r="F350" s="40" t="s">
        <v>1424</v>
      </c>
      <c r="G350" s="24">
        <v>20.82</v>
      </c>
      <c r="H350" s="16" t="s">
        <v>1047</v>
      </c>
      <c r="I350" s="40">
        <v>0.12</v>
      </c>
      <c r="J350" s="16">
        <v>36</v>
      </c>
      <c r="K350" s="16"/>
      <c r="L350" s="16">
        <f t="shared" si="61"/>
        <v>0.1944</v>
      </c>
      <c r="M350" s="16">
        <f t="shared" ref="M350:M402" si="63">J350*45/10000</f>
        <v>0.162</v>
      </c>
      <c r="N350" s="19" t="s">
        <v>1068</v>
      </c>
      <c r="O350" s="16"/>
    </row>
    <row r="351" s="6" customFormat="1" ht="31" customHeight="1" spans="1:15">
      <c r="A351" s="16">
        <v>2</v>
      </c>
      <c r="B351" s="16" t="s">
        <v>318</v>
      </c>
      <c r="C351" s="40" t="s">
        <v>281</v>
      </c>
      <c r="D351" s="40" t="s">
        <v>1425</v>
      </c>
      <c r="E351" s="24">
        <v>22.96</v>
      </c>
      <c r="F351" s="40" t="s">
        <v>1425</v>
      </c>
      <c r="G351" s="24">
        <v>23.08</v>
      </c>
      <c r="H351" s="16" t="s">
        <v>1047</v>
      </c>
      <c r="I351" s="40">
        <v>0.12</v>
      </c>
      <c r="J351" s="16">
        <v>36</v>
      </c>
      <c r="K351" s="16"/>
      <c r="L351" s="16">
        <f t="shared" si="61"/>
        <v>0.1944</v>
      </c>
      <c r="M351" s="16">
        <f t="shared" si="63"/>
        <v>0.162</v>
      </c>
      <c r="N351" s="19" t="s">
        <v>1068</v>
      </c>
      <c r="O351" s="16"/>
    </row>
    <row r="352" s="6" customFormat="1" ht="31" customHeight="1" spans="1:15">
      <c r="A352" s="16">
        <v>3</v>
      </c>
      <c r="B352" s="16" t="s">
        <v>318</v>
      </c>
      <c r="C352" s="40" t="s">
        <v>281</v>
      </c>
      <c r="D352" s="40" t="s">
        <v>1160</v>
      </c>
      <c r="E352" s="24">
        <v>36.23</v>
      </c>
      <c r="F352" s="40" t="s">
        <v>1160</v>
      </c>
      <c r="G352" s="24">
        <v>36.39</v>
      </c>
      <c r="H352" s="16" t="s">
        <v>1047</v>
      </c>
      <c r="I352" s="40">
        <v>0.16</v>
      </c>
      <c r="J352" s="16">
        <v>48</v>
      </c>
      <c r="K352" s="16"/>
      <c r="L352" s="16">
        <f t="shared" si="61"/>
        <v>0.2592</v>
      </c>
      <c r="M352" s="16">
        <f t="shared" si="63"/>
        <v>0.216</v>
      </c>
      <c r="N352" s="19" t="s">
        <v>1068</v>
      </c>
      <c r="O352" s="16"/>
    </row>
    <row r="353" s="6" customFormat="1" ht="31" customHeight="1" spans="1:15">
      <c r="A353" s="16">
        <v>4</v>
      </c>
      <c r="B353" s="16" t="s">
        <v>318</v>
      </c>
      <c r="C353" s="40" t="s">
        <v>281</v>
      </c>
      <c r="D353" s="40" t="s">
        <v>1160</v>
      </c>
      <c r="E353" s="24">
        <v>36.95</v>
      </c>
      <c r="F353" s="40" t="s">
        <v>1160</v>
      </c>
      <c r="G353" s="24">
        <v>37.07</v>
      </c>
      <c r="H353" s="16" t="s">
        <v>1047</v>
      </c>
      <c r="I353" s="40">
        <v>0.12</v>
      </c>
      <c r="J353" s="16">
        <v>36</v>
      </c>
      <c r="K353" s="16"/>
      <c r="L353" s="16">
        <f t="shared" si="61"/>
        <v>0.1944</v>
      </c>
      <c r="M353" s="16">
        <f t="shared" si="63"/>
        <v>0.162</v>
      </c>
      <c r="N353" s="19" t="s">
        <v>1068</v>
      </c>
      <c r="O353" s="16"/>
    </row>
    <row r="354" s="6" customFormat="1" ht="31" customHeight="1" spans="1:15">
      <c r="A354" s="16">
        <v>5</v>
      </c>
      <c r="B354" s="16" t="s">
        <v>318</v>
      </c>
      <c r="C354" s="40" t="s">
        <v>281</v>
      </c>
      <c r="D354" s="40" t="s">
        <v>1160</v>
      </c>
      <c r="E354" s="24">
        <v>37.364</v>
      </c>
      <c r="F354" s="40" t="s">
        <v>1160</v>
      </c>
      <c r="G354" s="24">
        <v>37.484</v>
      </c>
      <c r="H354" s="16" t="s">
        <v>1047</v>
      </c>
      <c r="I354" s="40">
        <v>0.12</v>
      </c>
      <c r="J354" s="16">
        <v>36</v>
      </c>
      <c r="K354" s="16"/>
      <c r="L354" s="16">
        <f t="shared" si="61"/>
        <v>0.1944</v>
      </c>
      <c r="M354" s="16">
        <f t="shared" si="63"/>
        <v>0.162</v>
      </c>
      <c r="N354" s="19" t="s">
        <v>1068</v>
      </c>
      <c r="O354" s="16"/>
    </row>
    <row r="355" s="6" customFormat="1" ht="31" customHeight="1" spans="1:15">
      <c r="A355" s="16">
        <v>6</v>
      </c>
      <c r="B355" s="16" t="s">
        <v>318</v>
      </c>
      <c r="C355" s="40" t="s">
        <v>281</v>
      </c>
      <c r="D355" s="40" t="s">
        <v>1426</v>
      </c>
      <c r="E355" s="24">
        <v>38.17</v>
      </c>
      <c r="F355" s="40" t="s">
        <v>1426</v>
      </c>
      <c r="G355" s="24">
        <v>38.33</v>
      </c>
      <c r="H355" s="16" t="s">
        <v>1047</v>
      </c>
      <c r="I355" s="40">
        <v>0.16</v>
      </c>
      <c r="J355" s="16">
        <v>48</v>
      </c>
      <c r="K355" s="16"/>
      <c r="L355" s="16">
        <f t="shared" si="61"/>
        <v>0.2592</v>
      </c>
      <c r="M355" s="16">
        <f t="shared" si="63"/>
        <v>0.216</v>
      </c>
      <c r="N355" s="19" t="s">
        <v>1068</v>
      </c>
      <c r="O355" s="16"/>
    </row>
    <row r="356" s="6" customFormat="1" ht="31" customHeight="1" spans="1:15">
      <c r="A356" s="16">
        <v>7</v>
      </c>
      <c r="B356" s="16" t="s">
        <v>318</v>
      </c>
      <c r="C356" s="40" t="s">
        <v>281</v>
      </c>
      <c r="D356" s="40" t="s">
        <v>1426</v>
      </c>
      <c r="E356" s="24">
        <v>38.81</v>
      </c>
      <c r="F356" s="40" t="s">
        <v>1426</v>
      </c>
      <c r="G356" s="24">
        <v>38.97</v>
      </c>
      <c r="H356" s="16" t="s">
        <v>1047</v>
      </c>
      <c r="I356" s="40">
        <v>0.16</v>
      </c>
      <c r="J356" s="16">
        <v>48</v>
      </c>
      <c r="K356" s="16"/>
      <c r="L356" s="16">
        <f t="shared" si="61"/>
        <v>0.2592</v>
      </c>
      <c r="M356" s="16">
        <f t="shared" si="63"/>
        <v>0.216</v>
      </c>
      <c r="N356" s="19" t="s">
        <v>1068</v>
      </c>
      <c r="O356" s="16"/>
    </row>
    <row r="357" s="6" customFormat="1" ht="31" customHeight="1" spans="1:15">
      <c r="A357" s="16">
        <v>8</v>
      </c>
      <c r="B357" s="16" t="s">
        <v>318</v>
      </c>
      <c r="C357" s="40" t="s">
        <v>396</v>
      </c>
      <c r="D357" s="16" t="s">
        <v>1427</v>
      </c>
      <c r="E357" s="24">
        <v>2034.53</v>
      </c>
      <c r="F357" s="16" t="s">
        <v>1427</v>
      </c>
      <c r="G357" s="24">
        <v>2034.69</v>
      </c>
      <c r="H357" s="16" t="s">
        <v>1047</v>
      </c>
      <c r="I357" s="40">
        <v>0.16</v>
      </c>
      <c r="J357" s="16">
        <v>48</v>
      </c>
      <c r="K357" s="16"/>
      <c r="L357" s="16">
        <f t="shared" si="61"/>
        <v>0.2592</v>
      </c>
      <c r="M357" s="16">
        <f t="shared" si="63"/>
        <v>0.216</v>
      </c>
      <c r="N357" s="19" t="s">
        <v>1068</v>
      </c>
      <c r="O357" s="16"/>
    </row>
    <row r="358" s="6" customFormat="1" ht="31" customHeight="1" spans="1:15">
      <c r="A358" s="16">
        <v>9</v>
      </c>
      <c r="B358" s="16" t="s">
        <v>318</v>
      </c>
      <c r="C358" s="40" t="s">
        <v>396</v>
      </c>
      <c r="D358" s="16" t="s">
        <v>1427</v>
      </c>
      <c r="E358" s="24">
        <v>2035.85</v>
      </c>
      <c r="F358" s="16" t="s">
        <v>1427</v>
      </c>
      <c r="G358" s="24">
        <v>2036.01</v>
      </c>
      <c r="H358" s="16" t="s">
        <v>1047</v>
      </c>
      <c r="I358" s="40">
        <v>0.16</v>
      </c>
      <c r="J358" s="16">
        <v>48</v>
      </c>
      <c r="K358" s="16"/>
      <c r="L358" s="16">
        <f t="shared" si="61"/>
        <v>0.2592</v>
      </c>
      <c r="M358" s="16">
        <f t="shared" si="63"/>
        <v>0.216</v>
      </c>
      <c r="N358" s="19" t="s">
        <v>1068</v>
      </c>
      <c r="O358" s="16"/>
    </row>
    <row r="359" s="6" customFormat="1" ht="31" customHeight="1" spans="1:15">
      <c r="A359" s="16">
        <v>10</v>
      </c>
      <c r="B359" s="16" t="s">
        <v>318</v>
      </c>
      <c r="C359" s="40" t="s">
        <v>396</v>
      </c>
      <c r="D359" s="16" t="s">
        <v>1428</v>
      </c>
      <c r="E359" s="24">
        <v>2037.05</v>
      </c>
      <c r="F359" s="16" t="s">
        <v>1428</v>
      </c>
      <c r="G359" s="24">
        <v>2037.17</v>
      </c>
      <c r="H359" s="16" t="s">
        <v>1047</v>
      </c>
      <c r="I359" s="40">
        <v>0.12</v>
      </c>
      <c r="J359" s="16">
        <v>36</v>
      </c>
      <c r="K359" s="16"/>
      <c r="L359" s="16">
        <f t="shared" si="61"/>
        <v>0.1944</v>
      </c>
      <c r="M359" s="16">
        <f t="shared" si="63"/>
        <v>0.162</v>
      </c>
      <c r="N359" s="19" t="s">
        <v>1068</v>
      </c>
      <c r="O359" s="16"/>
    </row>
    <row r="360" s="6" customFormat="1" ht="31" customHeight="1" spans="1:15">
      <c r="A360" s="16">
        <v>11</v>
      </c>
      <c r="B360" s="16" t="s">
        <v>318</v>
      </c>
      <c r="C360" s="40" t="s">
        <v>396</v>
      </c>
      <c r="D360" s="16" t="s">
        <v>1428</v>
      </c>
      <c r="E360" s="24">
        <v>2037.85</v>
      </c>
      <c r="F360" s="16" t="s">
        <v>1428</v>
      </c>
      <c r="G360" s="24">
        <v>2037.97</v>
      </c>
      <c r="H360" s="16" t="s">
        <v>1047</v>
      </c>
      <c r="I360" s="40">
        <v>0.12</v>
      </c>
      <c r="J360" s="16">
        <v>36</v>
      </c>
      <c r="K360" s="16"/>
      <c r="L360" s="16">
        <f t="shared" si="61"/>
        <v>0.1944</v>
      </c>
      <c r="M360" s="16">
        <f t="shared" si="63"/>
        <v>0.162</v>
      </c>
      <c r="N360" s="19" t="s">
        <v>1068</v>
      </c>
      <c r="O360" s="16"/>
    </row>
    <row r="361" s="6" customFormat="1" ht="31" customHeight="1" spans="1:15">
      <c r="A361" s="16">
        <v>12</v>
      </c>
      <c r="B361" s="16" t="s">
        <v>318</v>
      </c>
      <c r="C361" s="40" t="s">
        <v>396</v>
      </c>
      <c r="D361" s="16" t="s">
        <v>1429</v>
      </c>
      <c r="E361" s="24">
        <v>2044.03</v>
      </c>
      <c r="F361" s="16" t="s">
        <v>1429</v>
      </c>
      <c r="G361" s="24">
        <v>2044.15</v>
      </c>
      <c r="H361" s="16" t="s">
        <v>1047</v>
      </c>
      <c r="I361" s="40">
        <v>0.12</v>
      </c>
      <c r="J361" s="16">
        <v>36</v>
      </c>
      <c r="K361" s="16"/>
      <c r="L361" s="16">
        <f t="shared" si="61"/>
        <v>0.1944</v>
      </c>
      <c r="M361" s="16">
        <f t="shared" si="63"/>
        <v>0.162</v>
      </c>
      <c r="N361" s="19" t="s">
        <v>1068</v>
      </c>
      <c r="O361" s="16"/>
    </row>
    <row r="362" s="6" customFormat="1" ht="31" customHeight="1" spans="1:15">
      <c r="A362" s="16">
        <v>13</v>
      </c>
      <c r="B362" s="16" t="s">
        <v>318</v>
      </c>
      <c r="C362" s="40" t="s">
        <v>396</v>
      </c>
      <c r="D362" s="16" t="s">
        <v>1430</v>
      </c>
      <c r="E362" s="24">
        <v>2048.16</v>
      </c>
      <c r="F362" s="16" t="s">
        <v>1430</v>
      </c>
      <c r="G362" s="24">
        <v>2048.28</v>
      </c>
      <c r="H362" s="16" t="s">
        <v>1047</v>
      </c>
      <c r="I362" s="40">
        <v>0.12</v>
      </c>
      <c r="J362" s="16">
        <v>36</v>
      </c>
      <c r="K362" s="16"/>
      <c r="L362" s="16">
        <f t="shared" si="61"/>
        <v>0.1944</v>
      </c>
      <c r="M362" s="16">
        <f t="shared" si="63"/>
        <v>0.162</v>
      </c>
      <c r="N362" s="19" t="s">
        <v>1068</v>
      </c>
      <c r="O362" s="16"/>
    </row>
    <row r="363" s="6" customFormat="1" ht="31" customHeight="1" spans="1:15">
      <c r="A363" s="16">
        <v>14</v>
      </c>
      <c r="B363" s="16" t="s">
        <v>318</v>
      </c>
      <c r="C363" s="40" t="s">
        <v>396</v>
      </c>
      <c r="D363" s="16" t="s">
        <v>1431</v>
      </c>
      <c r="E363" s="24">
        <v>2057.936</v>
      </c>
      <c r="F363" s="16" t="s">
        <v>1431</v>
      </c>
      <c r="G363" s="24">
        <v>2058.056</v>
      </c>
      <c r="H363" s="16" t="s">
        <v>1047</v>
      </c>
      <c r="I363" s="40">
        <v>0.12</v>
      </c>
      <c r="J363" s="16">
        <v>36</v>
      </c>
      <c r="K363" s="16"/>
      <c r="L363" s="16">
        <f t="shared" si="61"/>
        <v>0.1944</v>
      </c>
      <c r="M363" s="16">
        <f t="shared" si="63"/>
        <v>0.162</v>
      </c>
      <c r="N363" s="19" t="s">
        <v>1068</v>
      </c>
      <c r="O363" s="16"/>
    </row>
    <row r="364" s="6" customFormat="1" ht="31" customHeight="1" spans="1:15">
      <c r="A364" s="16">
        <v>15</v>
      </c>
      <c r="B364" s="16" t="s">
        <v>318</v>
      </c>
      <c r="C364" s="40" t="s">
        <v>396</v>
      </c>
      <c r="D364" s="16" t="s">
        <v>1432</v>
      </c>
      <c r="E364" s="24">
        <v>2060.3</v>
      </c>
      <c r="F364" s="16" t="s">
        <v>1432</v>
      </c>
      <c r="G364" s="24">
        <v>2060.46</v>
      </c>
      <c r="H364" s="16" t="s">
        <v>1047</v>
      </c>
      <c r="I364" s="40">
        <v>0.16</v>
      </c>
      <c r="J364" s="16">
        <v>48</v>
      </c>
      <c r="K364" s="16"/>
      <c r="L364" s="16">
        <f t="shared" si="61"/>
        <v>0.2592</v>
      </c>
      <c r="M364" s="16">
        <f t="shared" si="63"/>
        <v>0.216</v>
      </c>
      <c r="N364" s="19" t="s">
        <v>1068</v>
      </c>
      <c r="O364" s="16"/>
    </row>
    <row r="365" s="6" customFormat="1" ht="31" customHeight="1" spans="1:15">
      <c r="A365" s="16">
        <v>16</v>
      </c>
      <c r="B365" s="16" t="s">
        <v>318</v>
      </c>
      <c r="C365" s="40" t="s">
        <v>396</v>
      </c>
      <c r="D365" s="16" t="s">
        <v>1433</v>
      </c>
      <c r="E365" s="24">
        <v>2064.038</v>
      </c>
      <c r="F365" s="16" t="s">
        <v>1433</v>
      </c>
      <c r="G365" s="24">
        <v>2064.158</v>
      </c>
      <c r="H365" s="16" t="s">
        <v>1047</v>
      </c>
      <c r="I365" s="40">
        <v>0.12</v>
      </c>
      <c r="J365" s="16">
        <v>36</v>
      </c>
      <c r="K365" s="16"/>
      <c r="L365" s="16">
        <f t="shared" si="61"/>
        <v>0.1944</v>
      </c>
      <c r="M365" s="16">
        <f t="shared" si="63"/>
        <v>0.162</v>
      </c>
      <c r="N365" s="19" t="s">
        <v>1068</v>
      </c>
      <c r="O365" s="16"/>
    </row>
    <row r="366" s="6" customFormat="1" ht="31" customHeight="1" spans="1:15">
      <c r="A366" s="16">
        <v>17</v>
      </c>
      <c r="B366" s="16" t="s">
        <v>318</v>
      </c>
      <c r="C366" s="40" t="s">
        <v>396</v>
      </c>
      <c r="D366" s="16" t="s">
        <v>1433</v>
      </c>
      <c r="E366" s="24">
        <v>2065.1</v>
      </c>
      <c r="F366" s="16" t="s">
        <v>1433</v>
      </c>
      <c r="G366" s="24">
        <v>2065.26</v>
      </c>
      <c r="H366" s="16" t="s">
        <v>1047</v>
      </c>
      <c r="I366" s="40">
        <v>0.16</v>
      </c>
      <c r="J366" s="16">
        <v>48</v>
      </c>
      <c r="K366" s="16"/>
      <c r="L366" s="16">
        <f t="shared" si="61"/>
        <v>0.2592</v>
      </c>
      <c r="M366" s="16">
        <f t="shared" si="63"/>
        <v>0.216</v>
      </c>
      <c r="N366" s="19" t="s">
        <v>1068</v>
      </c>
      <c r="O366" s="16"/>
    </row>
    <row r="367" s="6" customFormat="1" ht="31" customHeight="1" spans="1:15">
      <c r="A367" s="16">
        <v>18</v>
      </c>
      <c r="B367" s="16" t="s">
        <v>318</v>
      </c>
      <c r="C367" s="40" t="s">
        <v>396</v>
      </c>
      <c r="D367" s="16" t="s">
        <v>1434</v>
      </c>
      <c r="E367" s="24">
        <v>2068.1</v>
      </c>
      <c r="F367" s="16" t="s">
        <v>1434</v>
      </c>
      <c r="G367" s="24">
        <v>2068.22</v>
      </c>
      <c r="H367" s="16" t="s">
        <v>1047</v>
      </c>
      <c r="I367" s="40">
        <v>0.12</v>
      </c>
      <c r="J367" s="16">
        <v>36</v>
      </c>
      <c r="K367" s="16"/>
      <c r="L367" s="16">
        <f t="shared" si="61"/>
        <v>0.1944</v>
      </c>
      <c r="M367" s="16">
        <f t="shared" si="63"/>
        <v>0.162</v>
      </c>
      <c r="N367" s="19" t="s">
        <v>1068</v>
      </c>
      <c r="O367" s="16"/>
    </row>
    <row r="368" s="6" customFormat="1" ht="31" customHeight="1" spans="1:15">
      <c r="A368" s="16">
        <v>19</v>
      </c>
      <c r="B368" s="16" t="s">
        <v>318</v>
      </c>
      <c r="C368" s="40" t="s">
        <v>396</v>
      </c>
      <c r="D368" s="16" t="s">
        <v>1435</v>
      </c>
      <c r="E368" s="24">
        <v>2076.52</v>
      </c>
      <c r="F368" s="16" t="s">
        <v>1435</v>
      </c>
      <c r="G368" s="24">
        <v>2076.68</v>
      </c>
      <c r="H368" s="16" t="s">
        <v>1047</v>
      </c>
      <c r="I368" s="40">
        <v>0.16</v>
      </c>
      <c r="J368" s="16">
        <v>48</v>
      </c>
      <c r="K368" s="40"/>
      <c r="L368" s="16">
        <f t="shared" si="61"/>
        <v>0.2592</v>
      </c>
      <c r="M368" s="16">
        <f t="shared" si="63"/>
        <v>0.216</v>
      </c>
      <c r="N368" s="19" t="s">
        <v>1068</v>
      </c>
      <c r="O368" s="40"/>
    </row>
    <row r="369" s="6" customFormat="1" ht="31" customHeight="1" spans="1:15">
      <c r="A369" s="16">
        <v>20</v>
      </c>
      <c r="B369" s="16" t="s">
        <v>318</v>
      </c>
      <c r="C369" s="40" t="s">
        <v>396</v>
      </c>
      <c r="D369" s="16" t="s">
        <v>835</v>
      </c>
      <c r="E369" s="24">
        <v>2079.01</v>
      </c>
      <c r="F369" s="16" t="s">
        <v>835</v>
      </c>
      <c r="G369" s="24">
        <v>2079.17</v>
      </c>
      <c r="H369" s="16" t="s">
        <v>1047</v>
      </c>
      <c r="I369" s="40">
        <v>0.16</v>
      </c>
      <c r="J369" s="16">
        <v>48</v>
      </c>
      <c r="K369" s="40"/>
      <c r="L369" s="16">
        <f t="shared" si="61"/>
        <v>0.2592</v>
      </c>
      <c r="M369" s="16">
        <f t="shared" si="63"/>
        <v>0.216</v>
      </c>
      <c r="N369" s="19" t="s">
        <v>1068</v>
      </c>
      <c r="O369" s="40"/>
    </row>
    <row r="370" s="6" customFormat="1" ht="31" customHeight="1" spans="1:15">
      <c r="A370" s="16">
        <v>21</v>
      </c>
      <c r="B370" s="16" t="s">
        <v>318</v>
      </c>
      <c r="C370" s="40" t="s">
        <v>396</v>
      </c>
      <c r="D370" s="16" t="s">
        <v>1436</v>
      </c>
      <c r="E370" s="24">
        <v>2083.7</v>
      </c>
      <c r="F370" s="16" t="s">
        <v>1436</v>
      </c>
      <c r="G370" s="24">
        <v>2083.82</v>
      </c>
      <c r="H370" s="16" t="s">
        <v>1047</v>
      </c>
      <c r="I370" s="40">
        <v>0.12</v>
      </c>
      <c r="J370" s="16">
        <v>36</v>
      </c>
      <c r="K370" s="40"/>
      <c r="L370" s="16">
        <f t="shared" si="61"/>
        <v>0.1944</v>
      </c>
      <c r="M370" s="16">
        <f t="shared" si="63"/>
        <v>0.162</v>
      </c>
      <c r="N370" s="19" t="s">
        <v>1068</v>
      </c>
      <c r="O370" s="40"/>
    </row>
    <row r="371" s="6" customFormat="1" ht="31" customHeight="1" spans="1:15">
      <c r="A371" s="16">
        <v>22</v>
      </c>
      <c r="B371" s="16" t="s">
        <v>318</v>
      </c>
      <c r="C371" s="40" t="s">
        <v>415</v>
      </c>
      <c r="D371" s="89" t="s">
        <v>1437</v>
      </c>
      <c r="E371" s="24">
        <v>364.85</v>
      </c>
      <c r="F371" s="89" t="s">
        <v>1437</v>
      </c>
      <c r="G371" s="24">
        <v>364.97</v>
      </c>
      <c r="H371" s="16" t="s">
        <v>1047</v>
      </c>
      <c r="I371" s="40">
        <v>0.12</v>
      </c>
      <c r="J371" s="16">
        <v>36</v>
      </c>
      <c r="K371" s="40"/>
      <c r="L371" s="16">
        <f t="shared" si="61"/>
        <v>0.1944</v>
      </c>
      <c r="M371" s="16">
        <f t="shared" si="63"/>
        <v>0.162</v>
      </c>
      <c r="N371" s="19" t="s">
        <v>1068</v>
      </c>
      <c r="O371" s="40"/>
    </row>
    <row r="372" s="6" customFormat="1" ht="31" customHeight="1" spans="1:15">
      <c r="A372" s="16">
        <v>23</v>
      </c>
      <c r="B372" s="16" t="s">
        <v>318</v>
      </c>
      <c r="C372" s="40" t="s">
        <v>415</v>
      </c>
      <c r="D372" s="89" t="s">
        <v>1438</v>
      </c>
      <c r="E372" s="24">
        <v>369.409</v>
      </c>
      <c r="F372" s="89" t="s">
        <v>1438</v>
      </c>
      <c r="G372" s="24">
        <v>369.529</v>
      </c>
      <c r="H372" s="16" t="s">
        <v>1047</v>
      </c>
      <c r="I372" s="40">
        <v>0.12</v>
      </c>
      <c r="J372" s="16">
        <v>36</v>
      </c>
      <c r="K372" s="40"/>
      <c r="L372" s="16">
        <f t="shared" si="61"/>
        <v>0.1944</v>
      </c>
      <c r="M372" s="16">
        <f t="shared" si="63"/>
        <v>0.162</v>
      </c>
      <c r="N372" s="19" t="s">
        <v>1068</v>
      </c>
      <c r="O372" s="40"/>
    </row>
    <row r="373" s="6" customFormat="1" ht="31" customHeight="1" spans="1:15">
      <c r="A373" s="16">
        <v>24</v>
      </c>
      <c r="B373" s="16" t="s">
        <v>318</v>
      </c>
      <c r="C373" s="40" t="s">
        <v>415</v>
      </c>
      <c r="D373" s="89" t="s">
        <v>1432</v>
      </c>
      <c r="E373" s="24">
        <v>381.2</v>
      </c>
      <c r="F373" s="89" t="s">
        <v>1432</v>
      </c>
      <c r="G373" s="24">
        <v>381.32</v>
      </c>
      <c r="H373" s="16" t="s">
        <v>1047</v>
      </c>
      <c r="I373" s="40">
        <v>0.12</v>
      </c>
      <c r="J373" s="16">
        <v>36</v>
      </c>
      <c r="K373" s="40"/>
      <c r="L373" s="16">
        <f t="shared" si="61"/>
        <v>0.1944</v>
      </c>
      <c r="M373" s="16">
        <f t="shared" si="63"/>
        <v>0.162</v>
      </c>
      <c r="N373" s="19" t="s">
        <v>1068</v>
      </c>
      <c r="O373" s="40"/>
    </row>
    <row r="374" s="6" customFormat="1" ht="31" customHeight="1" spans="1:15">
      <c r="A374" s="16">
        <v>25</v>
      </c>
      <c r="B374" s="16" t="s">
        <v>318</v>
      </c>
      <c r="C374" s="40" t="s">
        <v>415</v>
      </c>
      <c r="D374" s="89" t="s">
        <v>1439</v>
      </c>
      <c r="E374" s="24">
        <v>385.65</v>
      </c>
      <c r="F374" s="89" t="s">
        <v>1439</v>
      </c>
      <c r="G374" s="24">
        <v>385.77</v>
      </c>
      <c r="H374" s="16" t="s">
        <v>1047</v>
      </c>
      <c r="I374" s="40">
        <v>0.12</v>
      </c>
      <c r="J374" s="16">
        <v>36</v>
      </c>
      <c r="K374" s="40"/>
      <c r="L374" s="16">
        <f t="shared" si="61"/>
        <v>0.1944</v>
      </c>
      <c r="M374" s="16">
        <f t="shared" si="63"/>
        <v>0.162</v>
      </c>
      <c r="N374" s="19" t="s">
        <v>1068</v>
      </c>
      <c r="O374" s="40"/>
    </row>
    <row r="375" s="6" customFormat="1" ht="31" customHeight="1" spans="1:15">
      <c r="A375" s="16">
        <v>26</v>
      </c>
      <c r="B375" s="16" t="s">
        <v>318</v>
      </c>
      <c r="C375" s="40" t="s">
        <v>415</v>
      </c>
      <c r="D375" s="89" t="s">
        <v>1440</v>
      </c>
      <c r="E375" s="24">
        <v>382.75</v>
      </c>
      <c r="F375" s="89" t="s">
        <v>1440</v>
      </c>
      <c r="G375" s="24">
        <v>382.91</v>
      </c>
      <c r="H375" s="16" t="s">
        <v>1047</v>
      </c>
      <c r="I375" s="40">
        <v>0.16</v>
      </c>
      <c r="J375" s="16">
        <v>48</v>
      </c>
      <c r="K375" s="40"/>
      <c r="L375" s="16">
        <f t="shared" si="61"/>
        <v>0.2592</v>
      </c>
      <c r="M375" s="16">
        <f t="shared" si="63"/>
        <v>0.216</v>
      </c>
      <c r="N375" s="19" t="s">
        <v>1068</v>
      </c>
      <c r="O375" s="40"/>
    </row>
    <row r="376" s="6" customFormat="1" ht="31" customHeight="1" spans="1:15">
      <c r="A376" s="16">
        <v>27</v>
      </c>
      <c r="B376" s="16" t="s">
        <v>318</v>
      </c>
      <c r="C376" s="40" t="s">
        <v>415</v>
      </c>
      <c r="D376" s="89" t="s">
        <v>1441</v>
      </c>
      <c r="E376" s="24">
        <v>399.23</v>
      </c>
      <c r="F376" s="89" t="s">
        <v>1441</v>
      </c>
      <c r="G376" s="24">
        <v>399.39</v>
      </c>
      <c r="H376" s="16" t="s">
        <v>1047</v>
      </c>
      <c r="I376" s="40">
        <v>0.16</v>
      </c>
      <c r="J376" s="16">
        <v>48</v>
      </c>
      <c r="K376" s="40"/>
      <c r="L376" s="16">
        <f t="shared" si="61"/>
        <v>0.2592</v>
      </c>
      <c r="M376" s="16">
        <f t="shared" si="63"/>
        <v>0.216</v>
      </c>
      <c r="N376" s="19" t="s">
        <v>1068</v>
      </c>
      <c r="O376" s="40"/>
    </row>
    <row r="377" s="6" customFormat="1" ht="31" customHeight="1" spans="1:15">
      <c r="A377" s="16">
        <v>28</v>
      </c>
      <c r="B377" s="16" t="s">
        <v>318</v>
      </c>
      <c r="C377" s="40" t="s">
        <v>415</v>
      </c>
      <c r="D377" s="89" t="s">
        <v>1442</v>
      </c>
      <c r="E377" s="24">
        <v>399.62</v>
      </c>
      <c r="F377" s="89" t="s">
        <v>1442</v>
      </c>
      <c r="G377" s="24">
        <v>399.74</v>
      </c>
      <c r="H377" s="16" t="s">
        <v>1047</v>
      </c>
      <c r="I377" s="40">
        <v>0.12</v>
      </c>
      <c r="J377" s="16">
        <v>36</v>
      </c>
      <c r="K377" s="40"/>
      <c r="L377" s="16">
        <f t="shared" si="61"/>
        <v>0.1944</v>
      </c>
      <c r="M377" s="16">
        <f t="shared" si="63"/>
        <v>0.162</v>
      </c>
      <c r="N377" s="19" t="s">
        <v>1068</v>
      </c>
      <c r="O377" s="40"/>
    </row>
    <row r="378" s="6" customFormat="1" ht="31" customHeight="1" spans="1:15">
      <c r="A378" s="16">
        <v>29</v>
      </c>
      <c r="B378" s="16" t="s">
        <v>318</v>
      </c>
      <c r="C378" s="40" t="s">
        <v>415</v>
      </c>
      <c r="D378" s="89" t="s">
        <v>1443</v>
      </c>
      <c r="E378" s="24">
        <v>404.5</v>
      </c>
      <c r="F378" s="89" t="s">
        <v>1443</v>
      </c>
      <c r="G378" s="24">
        <v>404.66</v>
      </c>
      <c r="H378" s="16" t="s">
        <v>1047</v>
      </c>
      <c r="I378" s="40">
        <v>0.16</v>
      </c>
      <c r="J378" s="16">
        <v>48</v>
      </c>
      <c r="K378" s="40"/>
      <c r="L378" s="16">
        <f t="shared" si="61"/>
        <v>0.2592</v>
      </c>
      <c r="M378" s="16">
        <f t="shared" si="63"/>
        <v>0.216</v>
      </c>
      <c r="N378" s="19" t="s">
        <v>1068</v>
      </c>
      <c r="O378" s="40"/>
    </row>
    <row r="379" s="6" customFormat="1" ht="31" customHeight="1" spans="1:15">
      <c r="A379" s="16">
        <v>30</v>
      </c>
      <c r="B379" s="16" t="s">
        <v>318</v>
      </c>
      <c r="C379" s="40" t="s">
        <v>415</v>
      </c>
      <c r="D379" s="89" t="s">
        <v>1444</v>
      </c>
      <c r="E379" s="24">
        <v>410.46</v>
      </c>
      <c r="F379" s="89" t="s">
        <v>1444</v>
      </c>
      <c r="G379" s="24">
        <v>410.62</v>
      </c>
      <c r="H379" s="16" t="s">
        <v>1047</v>
      </c>
      <c r="I379" s="40">
        <v>0.16</v>
      </c>
      <c r="J379" s="16">
        <v>48</v>
      </c>
      <c r="K379" s="40"/>
      <c r="L379" s="16">
        <f t="shared" si="61"/>
        <v>0.2592</v>
      </c>
      <c r="M379" s="16">
        <f t="shared" si="63"/>
        <v>0.216</v>
      </c>
      <c r="N379" s="19" t="s">
        <v>1068</v>
      </c>
      <c r="O379" s="40"/>
    </row>
    <row r="380" s="6" customFormat="1" ht="31" customHeight="1" spans="1:15">
      <c r="A380" s="16">
        <v>31</v>
      </c>
      <c r="B380" s="16" t="s">
        <v>318</v>
      </c>
      <c r="C380" s="40" t="s">
        <v>415</v>
      </c>
      <c r="D380" s="89" t="s">
        <v>1445</v>
      </c>
      <c r="E380" s="24">
        <v>412.12</v>
      </c>
      <c r="F380" s="89" t="s">
        <v>1445</v>
      </c>
      <c r="G380" s="24">
        <v>412.28</v>
      </c>
      <c r="H380" s="16" t="s">
        <v>1047</v>
      </c>
      <c r="I380" s="40">
        <v>0.16</v>
      </c>
      <c r="J380" s="16">
        <v>48</v>
      </c>
      <c r="K380" s="40"/>
      <c r="L380" s="16">
        <f t="shared" si="61"/>
        <v>0.2592</v>
      </c>
      <c r="M380" s="16">
        <f t="shared" si="63"/>
        <v>0.216</v>
      </c>
      <c r="N380" s="19" t="s">
        <v>1068</v>
      </c>
      <c r="O380" s="40"/>
    </row>
    <row r="381" s="6" customFormat="1" ht="31" customHeight="1" spans="1:15">
      <c r="A381" s="16">
        <v>32</v>
      </c>
      <c r="B381" s="16" t="s">
        <v>318</v>
      </c>
      <c r="C381" s="40" t="s">
        <v>415</v>
      </c>
      <c r="D381" s="89" t="s">
        <v>1446</v>
      </c>
      <c r="E381" s="24">
        <v>416.46</v>
      </c>
      <c r="F381" s="89" t="s">
        <v>1446</v>
      </c>
      <c r="G381" s="24">
        <v>416.62</v>
      </c>
      <c r="H381" s="16" t="s">
        <v>1047</v>
      </c>
      <c r="I381" s="40">
        <v>0.16</v>
      </c>
      <c r="J381" s="16">
        <v>48</v>
      </c>
      <c r="K381" s="40"/>
      <c r="L381" s="16">
        <f t="shared" si="61"/>
        <v>0.2592</v>
      </c>
      <c r="M381" s="16">
        <f t="shared" si="63"/>
        <v>0.216</v>
      </c>
      <c r="N381" s="19" t="s">
        <v>1068</v>
      </c>
      <c r="O381" s="40"/>
    </row>
    <row r="382" s="6" customFormat="1" ht="31" customHeight="1" spans="1:15">
      <c r="A382" s="16">
        <v>33</v>
      </c>
      <c r="B382" s="16" t="s">
        <v>318</v>
      </c>
      <c r="C382" s="40" t="s">
        <v>828</v>
      </c>
      <c r="D382" s="89" t="s">
        <v>1447</v>
      </c>
      <c r="E382" s="24">
        <v>12.83</v>
      </c>
      <c r="F382" s="89" t="s">
        <v>1447</v>
      </c>
      <c r="G382" s="24">
        <v>12.99</v>
      </c>
      <c r="H382" s="16" t="s">
        <v>1047</v>
      </c>
      <c r="I382" s="40">
        <v>0.16</v>
      </c>
      <c r="J382" s="16">
        <v>48</v>
      </c>
      <c r="K382" s="40"/>
      <c r="L382" s="16">
        <f t="shared" si="61"/>
        <v>0.2592</v>
      </c>
      <c r="M382" s="16">
        <f t="shared" si="63"/>
        <v>0.216</v>
      </c>
      <c r="N382" s="19" t="s">
        <v>1068</v>
      </c>
      <c r="O382" s="40"/>
    </row>
    <row r="383" s="6" customFormat="1" ht="31" customHeight="1" spans="1:15">
      <c r="A383" s="16">
        <v>34</v>
      </c>
      <c r="B383" s="16" t="s">
        <v>318</v>
      </c>
      <c r="C383" s="40" t="s">
        <v>828</v>
      </c>
      <c r="D383" s="89" t="s">
        <v>1448</v>
      </c>
      <c r="E383" s="24">
        <v>13.29</v>
      </c>
      <c r="F383" s="89" t="s">
        <v>1448</v>
      </c>
      <c r="G383" s="24">
        <v>13.41</v>
      </c>
      <c r="H383" s="16" t="s">
        <v>1047</v>
      </c>
      <c r="I383" s="40">
        <v>0.12</v>
      </c>
      <c r="J383" s="16">
        <v>36</v>
      </c>
      <c r="K383" s="40"/>
      <c r="L383" s="16">
        <f t="shared" si="61"/>
        <v>0.1944</v>
      </c>
      <c r="M383" s="16">
        <f t="shared" si="63"/>
        <v>0.162</v>
      </c>
      <c r="N383" s="19" t="s">
        <v>1068</v>
      </c>
      <c r="O383" s="40"/>
    </row>
    <row r="384" s="6" customFormat="1" ht="31" customHeight="1" spans="1:15">
      <c r="A384" s="16">
        <v>35</v>
      </c>
      <c r="B384" s="16" t="s">
        <v>318</v>
      </c>
      <c r="C384" s="40" t="s">
        <v>828</v>
      </c>
      <c r="D384" s="89" t="s">
        <v>1449</v>
      </c>
      <c r="E384" s="24">
        <v>16.54</v>
      </c>
      <c r="F384" s="89" t="s">
        <v>1449</v>
      </c>
      <c r="G384" s="24">
        <v>16.7</v>
      </c>
      <c r="H384" s="16" t="s">
        <v>1047</v>
      </c>
      <c r="I384" s="40">
        <v>0.16</v>
      </c>
      <c r="J384" s="16">
        <v>48</v>
      </c>
      <c r="K384" s="40"/>
      <c r="L384" s="16">
        <f t="shared" si="61"/>
        <v>0.2592</v>
      </c>
      <c r="M384" s="16">
        <f t="shared" si="63"/>
        <v>0.216</v>
      </c>
      <c r="N384" s="19" t="s">
        <v>1068</v>
      </c>
      <c r="O384" s="40"/>
    </row>
    <row r="385" s="6" customFormat="1" ht="31" customHeight="1" spans="1:15">
      <c r="A385" s="16">
        <v>36</v>
      </c>
      <c r="B385" s="16" t="s">
        <v>318</v>
      </c>
      <c r="C385" s="40" t="s">
        <v>828</v>
      </c>
      <c r="D385" s="89" t="s">
        <v>1450</v>
      </c>
      <c r="E385" s="24">
        <v>18.73</v>
      </c>
      <c r="F385" s="89" t="s">
        <v>1450</v>
      </c>
      <c r="G385" s="24">
        <v>18.89</v>
      </c>
      <c r="H385" s="16" t="s">
        <v>1047</v>
      </c>
      <c r="I385" s="40">
        <v>0.16</v>
      </c>
      <c r="J385" s="16">
        <v>48</v>
      </c>
      <c r="K385" s="40"/>
      <c r="L385" s="16">
        <f t="shared" si="61"/>
        <v>0.2592</v>
      </c>
      <c r="M385" s="16">
        <f t="shared" si="63"/>
        <v>0.216</v>
      </c>
      <c r="N385" s="19" t="s">
        <v>1068</v>
      </c>
      <c r="O385" s="40"/>
    </row>
    <row r="386" s="6" customFormat="1" ht="31" customHeight="1" spans="1:15">
      <c r="A386" s="16">
        <v>37</v>
      </c>
      <c r="B386" s="16" t="s">
        <v>318</v>
      </c>
      <c r="C386" s="40" t="s">
        <v>828</v>
      </c>
      <c r="D386" s="89" t="s">
        <v>1451</v>
      </c>
      <c r="E386" s="24">
        <v>22.66</v>
      </c>
      <c r="F386" s="89" t="s">
        <v>1451</v>
      </c>
      <c r="G386" s="24">
        <v>22.82</v>
      </c>
      <c r="H386" s="16" t="s">
        <v>1047</v>
      </c>
      <c r="I386" s="40">
        <v>0.16</v>
      </c>
      <c r="J386" s="16">
        <v>48</v>
      </c>
      <c r="K386" s="40"/>
      <c r="L386" s="16">
        <f t="shared" si="61"/>
        <v>0.2592</v>
      </c>
      <c r="M386" s="16">
        <f t="shared" si="63"/>
        <v>0.216</v>
      </c>
      <c r="N386" s="19" t="s">
        <v>1068</v>
      </c>
      <c r="O386" s="40"/>
    </row>
    <row r="387" s="6" customFormat="1" ht="31" customHeight="1" spans="1:15">
      <c r="A387" s="16">
        <v>38</v>
      </c>
      <c r="B387" s="16" t="s">
        <v>318</v>
      </c>
      <c r="C387" s="40" t="s">
        <v>828</v>
      </c>
      <c r="D387" s="89" t="s">
        <v>1452</v>
      </c>
      <c r="E387" s="24">
        <v>23.4</v>
      </c>
      <c r="F387" s="89" t="s">
        <v>1452</v>
      </c>
      <c r="G387" s="24">
        <v>23.52</v>
      </c>
      <c r="H387" s="16" t="s">
        <v>1047</v>
      </c>
      <c r="I387" s="40">
        <v>0.12</v>
      </c>
      <c r="J387" s="16">
        <v>36</v>
      </c>
      <c r="K387" s="40"/>
      <c r="L387" s="16">
        <f t="shared" si="61"/>
        <v>0.1944</v>
      </c>
      <c r="M387" s="16">
        <f t="shared" si="63"/>
        <v>0.162</v>
      </c>
      <c r="N387" s="19" t="s">
        <v>1068</v>
      </c>
      <c r="O387" s="40"/>
    </row>
    <row r="388" s="6" customFormat="1" ht="31" customHeight="1" spans="1:15">
      <c r="A388" s="16">
        <v>39</v>
      </c>
      <c r="B388" s="16" t="s">
        <v>318</v>
      </c>
      <c r="C388" s="40" t="s">
        <v>828</v>
      </c>
      <c r="D388" s="89" t="s">
        <v>1452</v>
      </c>
      <c r="E388" s="24">
        <v>28.23</v>
      </c>
      <c r="F388" s="89" t="s">
        <v>1452</v>
      </c>
      <c r="G388" s="24">
        <v>28.39</v>
      </c>
      <c r="H388" s="16" t="s">
        <v>1047</v>
      </c>
      <c r="I388" s="40">
        <v>0.16</v>
      </c>
      <c r="J388" s="16">
        <v>48</v>
      </c>
      <c r="K388" s="40"/>
      <c r="L388" s="16">
        <f t="shared" si="61"/>
        <v>0.2592</v>
      </c>
      <c r="M388" s="16">
        <f t="shared" si="63"/>
        <v>0.216</v>
      </c>
      <c r="N388" s="19" t="s">
        <v>1068</v>
      </c>
      <c r="O388" s="40"/>
    </row>
    <row r="389" s="6" customFormat="1" ht="31" customHeight="1" spans="1:15">
      <c r="A389" s="16">
        <v>40</v>
      </c>
      <c r="B389" s="16" t="s">
        <v>318</v>
      </c>
      <c r="C389" s="40" t="s">
        <v>828</v>
      </c>
      <c r="D389" s="89" t="s">
        <v>1453</v>
      </c>
      <c r="E389" s="24">
        <v>29.5</v>
      </c>
      <c r="F389" s="89" t="s">
        <v>1453</v>
      </c>
      <c r="G389" s="24">
        <v>29.66</v>
      </c>
      <c r="H389" s="16" t="s">
        <v>1047</v>
      </c>
      <c r="I389" s="40">
        <v>0.16</v>
      </c>
      <c r="J389" s="16">
        <v>48</v>
      </c>
      <c r="K389" s="40"/>
      <c r="L389" s="16">
        <f t="shared" si="61"/>
        <v>0.2592</v>
      </c>
      <c r="M389" s="16">
        <f t="shared" si="63"/>
        <v>0.216</v>
      </c>
      <c r="N389" s="19" t="s">
        <v>1068</v>
      </c>
      <c r="O389" s="40"/>
    </row>
    <row r="390" s="6" customFormat="1" ht="31" customHeight="1" spans="1:15">
      <c r="A390" s="16">
        <v>41</v>
      </c>
      <c r="B390" s="16" t="s">
        <v>318</v>
      </c>
      <c r="C390" s="40" t="s">
        <v>828</v>
      </c>
      <c r="D390" s="89" t="s">
        <v>1454</v>
      </c>
      <c r="E390" s="24">
        <v>30.38</v>
      </c>
      <c r="F390" s="89" t="s">
        <v>1454</v>
      </c>
      <c r="G390" s="24">
        <v>30.5</v>
      </c>
      <c r="H390" s="16" t="s">
        <v>1047</v>
      </c>
      <c r="I390" s="40">
        <v>0.12</v>
      </c>
      <c r="J390" s="16">
        <v>36</v>
      </c>
      <c r="K390" s="40"/>
      <c r="L390" s="16">
        <f t="shared" si="61"/>
        <v>0.1944</v>
      </c>
      <c r="M390" s="16">
        <f t="shared" si="63"/>
        <v>0.162</v>
      </c>
      <c r="N390" s="19" t="s">
        <v>1068</v>
      </c>
      <c r="O390" s="40"/>
    </row>
    <row r="391" s="6" customFormat="1" ht="31" customHeight="1" spans="1:15">
      <c r="A391" s="16">
        <v>42</v>
      </c>
      <c r="B391" s="16" t="s">
        <v>318</v>
      </c>
      <c r="C391" s="40" t="s">
        <v>828</v>
      </c>
      <c r="D391" s="89" t="s">
        <v>1454</v>
      </c>
      <c r="E391" s="24">
        <v>31</v>
      </c>
      <c r="F391" s="89" t="s">
        <v>1454</v>
      </c>
      <c r="G391" s="24">
        <v>31.16</v>
      </c>
      <c r="H391" s="16" t="s">
        <v>1047</v>
      </c>
      <c r="I391" s="40">
        <v>0.16</v>
      </c>
      <c r="J391" s="16">
        <v>48</v>
      </c>
      <c r="K391" s="40"/>
      <c r="L391" s="16">
        <f t="shared" si="61"/>
        <v>0.2592</v>
      </c>
      <c r="M391" s="16">
        <f t="shared" si="63"/>
        <v>0.216</v>
      </c>
      <c r="N391" s="19" t="s">
        <v>1068</v>
      </c>
      <c r="O391" s="40"/>
    </row>
    <row r="392" s="6" customFormat="1" ht="31" customHeight="1" spans="1:15">
      <c r="A392" s="16">
        <v>43</v>
      </c>
      <c r="B392" s="16" t="s">
        <v>318</v>
      </c>
      <c r="C392" s="40" t="s">
        <v>828</v>
      </c>
      <c r="D392" s="89" t="s">
        <v>1455</v>
      </c>
      <c r="E392" s="24">
        <v>33.66</v>
      </c>
      <c r="F392" s="89" t="s">
        <v>1455</v>
      </c>
      <c r="G392" s="24">
        <v>33.82</v>
      </c>
      <c r="H392" s="16" t="s">
        <v>1047</v>
      </c>
      <c r="I392" s="40">
        <v>0.16</v>
      </c>
      <c r="J392" s="16">
        <v>48</v>
      </c>
      <c r="K392" s="40"/>
      <c r="L392" s="16">
        <f t="shared" si="61"/>
        <v>0.2592</v>
      </c>
      <c r="M392" s="16">
        <f t="shared" si="63"/>
        <v>0.216</v>
      </c>
      <c r="N392" s="19" t="s">
        <v>1068</v>
      </c>
      <c r="O392" s="40"/>
    </row>
    <row r="393" s="6" customFormat="1" ht="31" customHeight="1" spans="1:15">
      <c r="A393" s="16">
        <v>44</v>
      </c>
      <c r="B393" s="16" t="s">
        <v>318</v>
      </c>
      <c r="C393" s="40" t="s">
        <v>828</v>
      </c>
      <c r="D393" s="89" t="s">
        <v>1456</v>
      </c>
      <c r="E393" s="24">
        <v>35.6</v>
      </c>
      <c r="F393" s="89" t="s">
        <v>1456</v>
      </c>
      <c r="G393" s="24">
        <v>35.76</v>
      </c>
      <c r="H393" s="16" t="s">
        <v>1047</v>
      </c>
      <c r="I393" s="40">
        <v>0.16</v>
      </c>
      <c r="J393" s="16">
        <v>48</v>
      </c>
      <c r="K393" s="40"/>
      <c r="L393" s="16">
        <f t="shared" si="61"/>
        <v>0.2592</v>
      </c>
      <c r="M393" s="16">
        <f t="shared" si="63"/>
        <v>0.216</v>
      </c>
      <c r="N393" s="19" t="s">
        <v>1068</v>
      </c>
      <c r="O393" s="40"/>
    </row>
    <row r="394" s="6" customFormat="1" ht="31" customHeight="1" spans="1:15">
      <c r="A394" s="16">
        <v>45</v>
      </c>
      <c r="B394" s="16" t="s">
        <v>318</v>
      </c>
      <c r="C394" s="40" t="s">
        <v>828</v>
      </c>
      <c r="D394" s="89" t="s">
        <v>1457</v>
      </c>
      <c r="E394" s="24">
        <v>37.42</v>
      </c>
      <c r="F394" s="89" t="s">
        <v>1457</v>
      </c>
      <c r="G394" s="24">
        <v>37.58</v>
      </c>
      <c r="H394" s="16" t="s">
        <v>1047</v>
      </c>
      <c r="I394" s="40">
        <v>0.16</v>
      </c>
      <c r="J394" s="16">
        <v>48</v>
      </c>
      <c r="K394" s="40"/>
      <c r="L394" s="16">
        <f t="shared" si="61"/>
        <v>0.2592</v>
      </c>
      <c r="M394" s="16">
        <f t="shared" si="63"/>
        <v>0.216</v>
      </c>
      <c r="N394" s="19" t="s">
        <v>1068</v>
      </c>
      <c r="O394" s="40"/>
    </row>
    <row r="395" s="6" customFormat="1" ht="31" customHeight="1" spans="1:15">
      <c r="A395" s="16">
        <v>46</v>
      </c>
      <c r="B395" s="16" t="s">
        <v>318</v>
      </c>
      <c r="C395" s="40" t="s">
        <v>828</v>
      </c>
      <c r="D395" s="89" t="s">
        <v>1458</v>
      </c>
      <c r="E395" s="24">
        <v>39.49</v>
      </c>
      <c r="F395" s="89" t="s">
        <v>1458</v>
      </c>
      <c r="G395" s="24">
        <v>39.61</v>
      </c>
      <c r="H395" s="16" t="s">
        <v>1047</v>
      </c>
      <c r="I395" s="40">
        <v>0.12</v>
      </c>
      <c r="J395" s="16">
        <v>36</v>
      </c>
      <c r="K395" s="40"/>
      <c r="L395" s="16">
        <f t="shared" si="61"/>
        <v>0.1944</v>
      </c>
      <c r="M395" s="16">
        <f t="shared" si="63"/>
        <v>0.162</v>
      </c>
      <c r="N395" s="19" t="s">
        <v>1068</v>
      </c>
      <c r="O395" s="40"/>
    </row>
    <row r="396" s="6" customFormat="1" ht="31" customHeight="1" spans="1:15">
      <c r="A396" s="16">
        <v>47</v>
      </c>
      <c r="B396" s="16" t="s">
        <v>318</v>
      </c>
      <c r="C396" s="40" t="s">
        <v>828</v>
      </c>
      <c r="D396" s="89" t="s">
        <v>1458</v>
      </c>
      <c r="E396" s="24">
        <v>40.2</v>
      </c>
      <c r="F396" s="89" t="s">
        <v>1458</v>
      </c>
      <c r="G396" s="24">
        <v>40.36</v>
      </c>
      <c r="H396" s="16" t="s">
        <v>1047</v>
      </c>
      <c r="I396" s="40">
        <v>0.16</v>
      </c>
      <c r="J396" s="16">
        <v>48</v>
      </c>
      <c r="K396" s="40"/>
      <c r="L396" s="16">
        <f t="shared" si="61"/>
        <v>0.2592</v>
      </c>
      <c r="M396" s="16">
        <f t="shared" si="63"/>
        <v>0.216</v>
      </c>
      <c r="N396" s="19" t="s">
        <v>1068</v>
      </c>
      <c r="O396" s="40"/>
    </row>
    <row r="397" s="6" customFormat="1" ht="31" customHeight="1" spans="1:15">
      <c r="A397" s="16">
        <v>48</v>
      </c>
      <c r="B397" s="16" t="s">
        <v>318</v>
      </c>
      <c r="C397" s="40" t="s">
        <v>828</v>
      </c>
      <c r="D397" s="89" t="s">
        <v>1459</v>
      </c>
      <c r="E397" s="24">
        <v>41.858</v>
      </c>
      <c r="F397" s="89" t="s">
        <v>1459</v>
      </c>
      <c r="G397" s="24">
        <v>42.018</v>
      </c>
      <c r="H397" s="16" t="s">
        <v>1047</v>
      </c>
      <c r="I397" s="40">
        <v>0.16</v>
      </c>
      <c r="J397" s="16">
        <v>48</v>
      </c>
      <c r="K397" s="40"/>
      <c r="L397" s="16">
        <f t="shared" si="61"/>
        <v>0.2592</v>
      </c>
      <c r="M397" s="16">
        <f t="shared" si="63"/>
        <v>0.216</v>
      </c>
      <c r="N397" s="19" t="s">
        <v>1068</v>
      </c>
      <c r="O397" s="40"/>
    </row>
    <row r="398" s="6" customFormat="1" ht="31" customHeight="1" spans="1:15">
      <c r="A398" s="16">
        <v>49</v>
      </c>
      <c r="B398" s="16" t="s">
        <v>318</v>
      </c>
      <c r="C398" s="40" t="s">
        <v>828</v>
      </c>
      <c r="D398" s="89" t="s">
        <v>1460</v>
      </c>
      <c r="E398" s="24">
        <v>44.96</v>
      </c>
      <c r="F398" s="89" t="s">
        <v>1460</v>
      </c>
      <c r="G398" s="24">
        <v>45.12</v>
      </c>
      <c r="H398" s="16" t="s">
        <v>1047</v>
      </c>
      <c r="I398" s="40">
        <v>0.16</v>
      </c>
      <c r="J398" s="16">
        <v>48</v>
      </c>
      <c r="K398" s="40"/>
      <c r="L398" s="16">
        <f t="shared" si="61"/>
        <v>0.2592</v>
      </c>
      <c r="M398" s="16">
        <f t="shared" si="63"/>
        <v>0.216</v>
      </c>
      <c r="N398" s="19" t="s">
        <v>1068</v>
      </c>
      <c r="O398" s="40"/>
    </row>
    <row r="399" s="6" customFormat="1" ht="31" customHeight="1" spans="1:15">
      <c r="A399" s="16">
        <v>50</v>
      </c>
      <c r="B399" s="16" t="s">
        <v>318</v>
      </c>
      <c r="C399" s="40" t="s">
        <v>828</v>
      </c>
      <c r="D399" s="89" t="s">
        <v>1460</v>
      </c>
      <c r="E399" s="24">
        <v>45.76</v>
      </c>
      <c r="F399" s="89" t="s">
        <v>1460</v>
      </c>
      <c r="G399" s="24">
        <v>45.88</v>
      </c>
      <c r="H399" s="16" t="s">
        <v>1047</v>
      </c>
      <c r="I399" s="40">
        <v>0.12</v>
      </c>
      <c r="J399" s="16">
        <v>36</v>
      </c>
      <c r="K399" s="40"/>
      <c r="L399" s="16">
        <f t="shared" si="61"/>
        <v>0.1944</v>
      </c>
      <c r="M399" s="16">
        <f t="shared" si="63"/>
        <v>0.162</v>
      </c>
      <c r="N399" s="19" t="s">
        <v>1068</v>
      </c>
      <c r="O399" s="40"/>
    </row>
    <row r="400" s="6" customFormat="1" ht="31" customHeight="1" spans="1:15">
      <c r="A400" s="16">
        <v>51</v>
      </c>
      <c r="B400" s="16" t="s">
        <v>318</v>
      </c>
      <c r="C400" s="40" t="s">
        <v>828</v>
      </c>
      <c r="D400" s="89" t="s">
        <v>1460</v>
      </c>
      <c r="E400" s="24">
        <v>46.23</v>
      </c>
      <c r="F400" s="89" t="s">
        <v>1460</v>
      </c>
      <c r="G400" s="24">
        <v>46.35</v>
      </c>
      <c r="H400" s="16" t="s">
        <v>1047</v>
      </c>
      <c r="I400" s="40">
        <v>0.12</v>
      </c>
      <c r="J400" s="16">
        <v>36</v>
      </c>
      <c r="K400" s="40"/>
      <c r="L400" s="16">
        <f t="shared" si="61"/>
        <v>0.1944</v>
      </c>
      <c r="M400" s="16">
        <f t="shared" si="63"/>
        <v>0.162</v>
      </c>
      <c r="N400" s="19" t="s">
        <v>1068</v>
      </c>
      <c r="O400" s="40"/>
    </row>
    <row r="401" s="6" customFormat="1" ht="31" customHeight="1" spans="1:15">
      <c r="A401" s="16">
        <v>52</v>
      </c>
      <c r="B401" s="16" t="s">
        <v>318</v>
      </c>
      <c r="C401" s="40" t="s">
        <v>828</v>
      </c>
      <c r="D401" s="89" t="s">
        <v>1461</v>
      </c>
      <c r="E401" s="24">
        <v>46.92</v>
      </c>
      <c r="F401" s="89" t="s">
        <v>1461</v>
      </c>
      <c r="G401" s="24">
        <v>47.08</v>
      </c>
      <c r="H401" s="16" t="s">
        <v>1047</v>
      </c>
      <c r="I401" s="40">
        <v>0.16</v>
      </c>
      <c r="J401" s="16">
        <v>48</v>
      </c>
      <c r="K401" s="40"/>
      <c r="L401" s="16">
        <f t="shared" si="61"/>
        <v>0.2592</v>
      </c>
      <c r="M401" s="16">
        <f t="shared" si="63"/>
        <v>0.216</v>
      </c>
      <c r="N401" s="19" t="s">
        <v>1068</v>
      </c>
      <c r="O401" s="40"/>
    </row>
    <row r="402" s="6" customFormat="1" ht="31" customHeight="1" spans="1:15">
      <c r="A402" s="16">
        <v>53</v>
      </c>
      <c r="B402" s="16" t="s">
        <v>318</v>
      </c>
      <c r="C402" s="40" t="s">
        <v>828</v>
      </c>
      <c r="D402" s="89" t="s">
        <v>1462</v>
      </c>
      <c r="E402" s="24">
        <v>48.46</v>
      </c>
      <c r="F402" s="89" t="s">
        <v>1462</v>
      </c>
      <c r="G402" s="24">
        <v>48.62</v>
      </c>
      <c r="H402" s="16" t="s">
        <v>1047</v>
      </c>
      <c r="I402" s="40">
        <v>0.16</v>
      </c>
      <c r="J402" s="16">
        <v>48</v>
      </c>
      <c r="K402" s="40"/>
      <c r="L402" s="16">
        <f t="shared" si="61"/>
        <v>0.2592</v>
      </c>
      <c r="M402" s="16">
        <f t="shared" si="63"/>
        <v>0.216</v>
      </c>
      <c r="N402" s="19" t="s">
        <v>1068</v>
      </c>
      <c r="O402" s="40"/>
    </row>
    <row r="403" s="6" customFormat="1" ht="31" customHeight="1" spans="1:15">
      <c r="A403" s="16">
        <v>54</v>
      </c>
      <c r="B403" s="16" t="s">
        <v>318</v>
      </c>
      <c r="C403" s="40" t="s">
        <v>828</v>
      </c>
      <c r="D403" s="89" t="s">
        <v>1463</v>
      </c>
      <c r="E403" s="24">
        <v>51</v>
      </c>
      <c r="F403" s="89" t="s">
        <v>1463</v>
      </c>
      <c r="G403" s="24">
        <v>51.16</v>
      </c>
      <c r="H403" s="16" t="s">
        <v>1047</v>
      </c>
      <c r="I403" s="40">
        <v>0.16</v>
      </c>
      <c r="J403" s="16">
        <v>48</v>
      </c>
      <c r="K403" s="40">
        <v>15</v>
      </c>
      <c r="L403" s="16">
        <f t="shared" si="61"/>
        <v>0.3402</v>
      </c>
      <c r="M403" s="16">
        <f>(J403+K403)*45/10000</f>
        <v>0.2835</v>
      </c>
      <c r="N403" s="19" t="s">
        <v>1464</v>
      </c>
      <c r="O403" s="40"/>
    </row>
    <row r="404" s="6" customFormat="1" ht="31" customHeight="1" spans="1:15">
      <c r="A404" s="16">
        <v>55</v>
      </c>
      <c r="B404" s="16" t="s">
        <v>318</v>
      </c>
      <c r="C404" s="40" t="s">
        <v>396</v>
      </c>
      <c r="D404" s="89" t="s">
        <v>1465</v>
      </c>
      <c r="E404" s="24">
        <v>2054</v>
      </c>
      <c r="F404" s="89" t="s">
        <v>1465</v>
      </c>
      <c r="G404" s="24">
        <v>2054.1</v>
      </c>
      <c r="H404" s="16" t="s">
        <v>1047</v>
      </c>
      <c r="I404" s="40">
        <v>0.1</v>
      </c>
      <c r="J404" s="40"/>
      <c r="K404" s="40">
        <v>15</v>
      </c>
      <c r="L404" s="16">
        <f t="shared" si="61"/>
        <v>0.081</v>
      </c>
      <c r="M404" s="40">
        <f>K404*45/10000</f>
        <v>0.0675</v>
      </c>
      <c r="N404" s="40" t="s">
        <v>1466</v>
      </c>
      <c r="O404" s="40"/>
    </row>
    <row r="405" s="6" customFormat="1" ht="31" customHeight="1" spans="1:15">
      <c r="A405" s="16">
        <v>56</v>
      </c>
      <c r="B405" s="20" t="s">
        <v>318</v>
      </c>
      <c r="C405" s="61" t="s">
        <v>415</v>
      </c>
      <c r="D405" s="91" t="s">
        <v>1467</v>
      </c>
      <c r="E405" s="26">
        <v>399</v>
      </c>
      <c r="F405" s="91" t="s">
        <v>1467</v>
      </c>
      <c r="G405" s="26">
        <v>399.1</v>
      </c>
      <c r="H405" s="16" t="s">
        <v>1047</v>
      </c>
      <c r="I405" s="40">
        <v>0.1</v>
      </c>
      <c r="J405" s="40"/>
      <c r="K405" s="40">
        <v>15</v>
      </c>
      <c r="L405" s="16">
        <f t="shared" si="61"/>
        <v>0.081</v>
      </c>
      <c r="M405" s="40">
        <f>K405*45/10000</f>
        <v>0.0675</v>
      </c>
      <c r="N405" s="40" t="s">
        <v>1466</v>
      </c>
      <c r="O405" s="40"/>
    </row>
    <row r="406" s="5" customFormat="1" ht="49" customHeight="1" spans="1:15">
      <c r="A406" s="15" t="s">
        <v>184</v>
      </c>
      <c r="B406" s="15"/>
      <c r="C406" s="15"/>
      <c r="D406" s="15"/>
      <c r="E406" s="15"/>
      <c r="F406" s="15"/>
      <c r="G406" s="15"/>
      <c r="H406" s="15"/>
      <c r="I406" s="38">
        <f t="shared" ref="I406:M406" si="64">SUM(I407:I416)</f>
        <v>2.6</v>
      </c>
      <c r="J406" s="38">
        <f t="shared" si="64"/>
        <v>780</v>
      </c>
      <c r="K406" s="38">
        <f t="shared" si="64"/>
        <v>0</v>
      </c>
      <c r="L406" s="38">
        <f t="shared" si="64"/>
        <v>4.212</v>
      </c>
      <c r="M406" s="38">
        <f t="shared" si="64"/>
        <v>3.51</v>
      </c>
      <c r="N406" s="15"/>
      <c r="O406" s="15"/>
    </row>
    <row r="407" s="6" customFormat="1" ht="31" customHeight="1" spans="1:15">
      <c r="A407" s="16">
        <v>17</v>
      </c>
      <c r="B407" s="16" t="s">
        <v>184</v>
      </c>
      <c r="C407" s="16" t="s">
        <v>396</v>
      </c>
      <c r="D407" s="16" t="s">
        <v>1468</v>
      </c>
      <c r="E407" s="16" t="s">
        <v>1469</v>
      </c>
      <c r="F407" s="16" t="s">
        <v>1468</v>
      </c>
      <c r="G407" s="16" t="s">
        <v>1470</v>
      </c>
      <c r="H407" s="16" t="s">
        <v>1047</v>
      </c>
      <c r="I407" s="16">
        <v>0.2</v>
      </c>
      <c r="J407" s="16">
        <v>60</v>
      </c>
      <c r="K407" s="16"/>
      <c r="L407" s="16">
        <f t="shared" ref="L407:L416" si="65">M407*1.2</f>
        <v>0.324</v>
      </c>
      <c r="M407" s="16">
        <f t="shared" ref="M407:M416" si="66">J407*45/10000</f>
        <v>0.27</v>
      </c>
      <c r="N407" s="16" t="s">
        <v>1068</v>
      </c>
      <c r="O407" s="16"/>
    </row>
    <row r="408" s="6" customFormat="1" ht="31" customHeight="1" spans="1:15">
      <c r="A408" s="16">
        <v>18</v>
      </c>
      <c r="B408" s="16" t="s">
        <v>184</v>
      </c>
      <c r="C408" s="16" t="s">
        <v>396</v>
      </c>
      <c r="D408" s="16" t="s">
        <v>1471</v>
      </c>
      <c r="E408" s="16" t="s">
        <v>1472</v>
      </c>
      <c r="F408" s="16" t="s">
        <v>1471</v>
      </c>
      <c r="G408" s="16" t="s">
        <v>1473</v>
      </c>
      <c r="H408" s="16" t="s">
        <v>1047</v>
      </c>
      <c r="I408" s="16">
        <v>0.4</v>
      </c>
      <c r="J408" s="16">
        <v>120</v>
      </c>
      <c r="K408" s="16"/>
      <c r="L408" s="16">
        <f t="shared" si="65"/>
        <v>0.648</v>
      </c>
      <c r="M408" s="16">
        <f t="shared" si="66"/>
        <v>0.54</v>
      </c>
      <c r="N408" s="16" t="s">
        <v>1068</v>
      </c>
      <c r="O408" s="16"/>
    </row>
    <row r="409" s="6" customFormat="1" ht="31" customHeight="1" spans="1:15">
      <c r="A409" s="16">
        <v>19</v>
      </c>
      <c r="B409" s="16" t="s">
        <v>184</v>
      </c>
      <c r="C409" s="16" t="s">
        <v>396</v>
      </c>
      <c r="D409" s="16" t="s">
        <v>1474</v>
      </c>
      <c r="E409" s="16" t="s">
        <v>1475</v>
      </c>
      <c r="F409" s="16" t="s">
        <v>1474</v>
      </c>
      <c r="G409" s="16" t="s">
        <v>1476</v>
      </c>
      <c r="H409" s="16" t="s">
        <v>1047</v>
      </c>
      <c r="I409" s="16">
        <v>0.2</v>
      </c>
      <c r="J409" s="16">
        <v>60</v>
      </c>
      <c r="K409" s="16"/>
      <c r="L409" s="16">
        <f t="shared" si="65"/>
        <v>0.324</v>
      </c>
      <c r="M409" s="16">
        <f t="shared" si="66"/>
        <v>0.27</v>
      </c>
      <c r="N409" s="16" t="s">
        <v>1068</v>
      </c>
      <c r="O409" s="16"/>
    </row>
    <row r="410" s="6" customFormat="1" ht="31" customHeight="1" spans="1:15">
      <c r="A410" s="16">
        <v>20</v>
      </c>
      <c r="B410" s="16" t="s">
        <v>184</v>
      </c>
      <c r="C410" s="16" t="s">
        <v>396</v>
      </c>
      <c r="D410" s="16" t="s">
        <v>1477</v>
      </c>
      <c r="E410" s="16" t="s">
        <v>1478</v>
      </c>
      <c r="F410" s="16" t="s">
        <v>1477</v>
      </c>
      <c r="G410" s="16" t="s">
        <v>1479</v>
      </c>
      <c r="H410" s="16" t="s">
        <v>1047</v>
      </c>
      <c r="I410" s="16">
        <v>0.4</v>
      </c>
      <c r="J410" s="16">
        <v>120</v>
      </c>
      <c r="K410" s="16"/>
      <c r="L410" s="16">
        <f t="shared" si="65"/>
        <v>0.648</v>
      </c>
      <c r="M410" s="16">
        <f t="shared" si="66"/>
        <v>0.54</v>
      </c>
      <c r="N410" s="16" t="s">
        <v>1068</v>
      </c>
      <c r="O410" s="16"/>
    </row>
    <row r="411" s="6" customFormat="1" ht="31" customHeight="1" spans="1:15">
      <c r="A411" s="16">
        <v>21</v>
      </c>
      <c r="B411" s="16" t="s">
        <v>184</v>
      </c>
      <c r="C411" s="16" t="s">
        <v>396</v>
      </c>
      <c r="D411" s="16" t="s">
        <v>1480</v>
      </c>
      <c r="E411" s="16" t="s">
        <v>1481</v>
      </c>
      <c r="F411" s="16" t="s">
        <v>1480</v>
      </c>
      <c r="G411" s="16" t="s">
        <v>1482</v>
      </c>
      <c r="H411" s="16" t="s">
        <v>1047</v>
      </c>
      <c r="I411" s="16">
        <v>0.2</v>
      </c>
      <c r="J411" s="16">
        <v>60</v>
      </c>
      <c r="K411" s="16"/>
      <c r="L411" s="16">
        <f t="shared" si="65"/>
        <v>0.324</v>
      </c>
      <c r="M411" s="16">
        <f t="shared" si="66"/>
        <v>0.27</v>
      </c>
      <c r="N411" s="16" t="s">
        <v>1068</v>
      </c>
      <c r="O411" s="16"/>
    </row>
    <row r="412" s="6" customFormat="1" ht="31" customHeight="1" spans="1:15">
      <c r="A412" s="16">
        <v>22</v>
      </c>
      <c r="B412" s="16" t="s">
        <v>184</v>
      </c>
      <c r="C412" s="16" t="s">
        <v>396</v>
      </c>
      <c r="D412" s="16" t="s">
        <v>1483</v>
      </c>
      <c r="E412" s="16" t="s">
        <v>1484</v>
      </c>
      <c r="F412" s="16" t="s">
        <v>1483</v>
      </c>
      <c r="G412" s="16" t="s">
        <v>1485</v>
      </c>
      <c r="H412" s="16" t="s">
        <v>1047</v>
      </c>
      <c r="I412" s="16">
        <v>0.4</v>
      </c>
      <c r="J412" s="16">
        <v>120</v>
      </c>
      <c r="K412" s="16"/>
      <c r="L412" s="16">
        <f t="shared" si="65"/>
        <v>0.648</v>
      </c>
      <c r="M412" s="16">
        <f t="shared" si="66"/>
        <v>0.54</v>
      </c>
      <c r="N412" s="16" t="s">
        <v>1068</v>
      </c>
      <c r="O412" s="16"/>
    </row>
    <row r="413" s="6" customFormat="1" ht="31" customHeight="1" spans="1:15">
      <c r="A413" s="16">
        <v>23</v>
      </c>
      <c r="B413" s="16" t="s">
        <v>184</v>
      </c>
      <c r="C413" s="16" t="s">
        <v>396</v>
      </c>
      <c r="D413" s="16" t="s">
        <v>1486</v>
      </c>
      <c r="E413" s="16" t="s">
        <v>1487</v>
      </c>
      <c r="F413" s="16" t="s">
        <v>1486</v>
      </c>
      <c r="G413" s="16" t="s">
        <v>1488</v>
      </c>
      <c r="H413" s="16" t="s">
        <v>1047</v>
      </c>
      <c r="I413" s="16">
        <v>0.2</v>
      </c>
      <c r="J413" s="16">
        <v>60</v>
      </c>
      <c r="K413" s="16"/>
      <c r="L413" s="16">
        <f t="shared" si="65"/>
        <v>0.324</v>
      </c>
      <c r="M413" s="16">
        <f t="shared" si="66"/>
        <v>0.27</v>
      </c>
      <c r="N413" s="16" t="s">
        <v>1068</v>
      </c>
      <c r="O413" s="16"/>
    </row>
    <row r="414" s="6" customFormat="1" ht="31" customHeight="1" spans="1:15">
      <c r="A414" s="16">
        <v>24</v>
      </c>
      <c r="B414" s="16" t="s">
        <v>184</v>
      </c>
      <c r="C414" s="16" t="s">
        <v>396</v>
      </c>
      <c r="D414" s="16" t="s">
        <v>1489</v>
      </c>
      <c r="E414" s="16" t="s">
        <v>1490</v>
      </c>
      <c r="F414" s="16" t="s">
        <v>1489</v>
      </c>
      <c r="G414" s="16" t="s">
        <v>1491</v>
      </c>
      <c r="H414" s="16" t="s">
        <v>1047</v>
      </c>
      <c r="I414" s="16">
        <v>0.2</v>
      </c>
      <c r="J414" s="16">
        <v>60</v>
      </c>
      <c r="K414" s="16"/>
      <c r="L414" s="16">
        <f t="shared" si="65"/>
        <v>0.324</v>
      </c>
      <c r="M414" s="16">
        <f t="shared" si="66"/>
        <v>0.27</v>
      </c>
      <c r="N414" s="16" t="s">
        <v>1068</v>
      </c>
      <c r="O414" s="16"/>
    </row>
    <row r="415" s="6" customFormat="1" ht="31" customHeight="1" spans="1:15">
      <c r="A415" s="16">
        <v>25</v>
      </c>
      <c r="B415" s="16" t="s">
        <v>184</v>
      </c>
      <c r="C415" s="16" t="s">
        <v>396</v>
      </c>
      <c r="D415" s="16" t="s">
        <v>1489</v>
      </c>
      <c r="E415" s="16" t="s">
        <v>1492</v>
      </c>
      <c r="F415" s="16" t="s">
        <v>1489</v>
      </c>
      <c r="G415" s="16" t="s">
        <v>1493</v>
      </c>
      <c r="H415" s="16" t="s">
        <v>1047</v>
      </c>
      <c r="I415" s="16">
        <v>0.2</v>
      </c>
      <c r="J415" s="16">
        <v>60</v>
      </c>
      <c r="K415" s="16"/>
      <c r="L415" s="16">
        <f t="shared" si="65"/>
        <v>0.324</v>
      </c>
      <c r="M415" s="16">
        <f t="shared" si="66"/>
        <v>0.27</v>
      </c>
      <c r="N415" s="16" t="s">
        <v>1068</v>
      </c>
      <c r="O415" s="16"/>
    </row>
    <row r="416" s="6" customFormat="1" ht="31" customHeight="1" spans="1:15">
      <c r="A416" s="20">
        <v>26</v>
      </c>
      <c r="B416" s="20" t="s">
        <v>184</v>
      </c>
      <c r="C416" s="20" t="s">
        <v>396</v>
      </c>
      <c r="D416" s="20" t="s">
        <v>1494</v>
      </c>
      <c r="E416" s="20" t="s">
        <v>1495</v>
      </c>
      <c r="F416" s="20" t="s">
        <v>1494</v>
      </c>
      <c r="G416" s="20" t="s">
        <v>1496</v>
      </c>
      <c r="H416" s="16" t="s">
        <v>1047</v>
      </c>
      <c r="I416" s="16">
        <v>0.2</v>
      </c>
      <c r="J416" s="16">
        <v>60</v>
      </c>
      <c r="K416" s="16"/>
      <c r="L416" s="16">
        <f t="shared" si="65"/>
        <v>0.324</v>
      </c>
      <c r="M416" s="16">
        <f t="shared" si="66"/>
        <v>0.27</v>
      </c>
      <c r="N416" s="16" t="s">
        <v>1068</v>
      </c>
      <c r="O416" s="16"/>
    </row>
    <row r="417" s="5" customFormat="1" ht="30" customHeight="1" spans="1:15">
      <c r="A417" s="15" t="s">
        <v>103</v>
      </c>
      <c r="B417" s="15"/>
      <c r="C417" s="15"/>
      <c r="D417" s="15"/>
      <c r="E417" s="15"/>
      <c r="F417" s="15"/>
      <c r="G417" s="15"/>
      <c r="H417" s="15"/>
      <c r="I417" s="38">
        <f t="shared" ref="I417:M417" si="67">SUM(I418:I433)</f>
        <v>11.6</v>
      </c>
      <c r="J417" s="38">
        <f t="shared" si="67"/>
        <v>3360</v>
      </c>
      <c r="K417" s="38">
        <f t="shared" si="67"/>
        <v>60</v>
      </c>
      <c r="L417" s="38">
        <f t="shared" si="67"/>
        <v>18.468</v>
      </c>
      <c r="M417" s="38">
        <f t="shared" si="67"/>
        <v>15.39</v>
      </c>
      <c r="N417" s="15"/>
      <c r="O417" s="15"/>
    </row>
    <row r="418" s="6" customFormat="1" ht="26" customHeight="1" spans="1:15">
      <c r="A418" s="22">
        <v>1</v>
      </c>
      <c r="B418" s="16" t="s">
        <v>103</v>
      </c>
      <c r="C418" s="90" t="s">
        <v>98</v>
      </c>
      <c r="D418" s="92" t="s">
        <v>1497</v>
      </c>
      <c r="E418" s="92">
        <v>902.687</v>
      </c>
      <c r="F418" s="92" t="s">
        <v>1498</v>
      </c>
      <c r="G418" s="90">
        <v>905.5</v>
      </c>
      <c r="H418" s="16" t="s">
        <v>1047</v>
      </c>
      <c r="I418" s="40">
        <v>1.6</v>
      </c>
      <c r="J418" s="40">
        <f t="shared" ref="J418:J430" si="68">I418*1000/100*30</f>
        <v>480</v>
      </c>
      <c r="K418" s="40"/>
      <c r="L418" s="47">
        <f t="shared" ref="L418:L433" si="69">M418*1.2</f>
        <v>2.592</v>
      </c>
      <c r="M418" s="47">
        <f t="shared" ref="M418:M430" si="70">J418*45/10000</f>
        <v>2.16</v>
      </c>
      <c r="N418" s="16" t="s">
        <v>1068</v>
      </c>
      <c r="O418" s="16"/>
    </row>
    <row r="419" s="6" customFormat="1" ht="26" customHeight="1" spans="1:15">
      <c r="A419" s="22">
        <v>2</v>
      </c>
      <c r="B419" s="16" t="s">
        <v>103</v>
      </c>
      <c r="C419" s="90" t="s">
        <v>98</v>
      </c>
      <c r="D419" s="93" t="s">
        <v>1499</v>
      </c>
      <c r="E419" s="93">
        <v>898.2</v>
      </c>
      <c r="F419" s="40" t="s">
        <v>1500</v>
      </c>
      <c r="G419" s="93">
        <v>900.7</v>
      </c>
      <c r="H419" s="16" t="s">
        <v>1047</v>
      </c>
      <c r="I419" s="40">
        <v>1.8</v>
      </c>
      <c r="J419" s="40">
        <f t="shared" si="68"/>
        <v>540</v>
      </c>
      <c r="K419" s="40"/>
      <c r="L419" s="47">
        <f t="shared" si="69"/>
        <v>2.916</v>
      </c>
      <c r="M419" s="47">
        <f t="shared" si="70"/>
        <v>2.43</v>
      </c>
      <c r="N419" s="16" t="s">
        <v>1068</v>
      </c>
      <c r="O419" s="16"/>
    </row>
    <row r="420" s="6" customFormat="1" ht="26" customHeight="1" spans="1:15">
      <c r="A420" s="22">
        <v>3</v>
      </c>
      <c r="B420" s="16" t="s">
        <v>103</v>
      </c>
      <c r="C420" s="90" t="s">
        <v>98</v>
      </c>
      <c r="D420" s="93" t="s">
        <v>1501</v>
      </c>
      <c r="E420" s="93">
        <v>920.3</v>
      </c>
      <c r="F420" s="40" t="s">
        <v>1502</v>
      </c>
      <c r="G420" s="93">
        <v>921</v>
      </c>
      <c r="H420" s="16" t="s">
        <v>1047</v>
      </c>
      <c r="I420" s="40">
        <v>0.6</v>
      </c>
      <c r="J420" s="40">
        <f t="shared" si="68"/>
        <v>180</v>
      </c>
      <c r="K420" s="40"/>
      <c r="L420" s="47">
        <f t="shared" si="69"/>
        <v>0.972</v>
      </c>
      <c r="M420" s="47">
        <f t="shared" si="70"/>
        <v>0.81</v>
      </c>
      <c r="N420" s="16" t="s">
        <v>1068</v>
      </c>
      <c r="O420" s="16"/>
    </row>
    <row r="421" s="6" customFormat="1" ht="26" customHeight="1" spans="1:15">
      <c r="A421" s="22">
        <v>4</v>
      </c>
      <c r="B421" s="16" t="s">
        <v>103</v>
      </c>
      <c r="C421" s="90" t="s">
        <v>98</v>
      </c>
      <c r="D421" s="93" t="s">
        <v>663</v>
      </c>
      <c r="E421" s="93">
        <v>916.5</v>
      </c>
      <c r="F421" s="40" t="s">
        <v>1503</v>
      </c>
      <c r="G421" s="93">
        <v>918</v>
      </c>
      <c r="H421" s="16" t="s">
        <v>1047</v>
      </c>
      <c r="I421" s="40">
        <v>0.9</v>
      </c>
      <c r="J421" s="40">
        <f t="shared" si="68"/>
        <v>270</v>
      </c>
      <c r="K421" s="40"/>
      <c r="L421" s="47">
        <f t="shared" si="69"/>
        <v>1.458</v>
      </c>
      <c r="M421" s="47">
        <f t="shared" si="70"/>
        <v>1.215</v>
      </c>
      <c r="N421" s="16" t="s">
        <v>1068</v>
      </c>
      <c r="O421" s="16"/>
    </row>
    <row r="422" s="6" customFormat="1" ht="26" customHeight="1" spans="1:15">
      <c r="A422" s="22">
        <v>5</v>
      </c>
      <c r="B422" s="16" t="s">
        <v>103</v>
      </c>
      <c r="C422" s="90" t="s">
        <v>63</v>
      </c>
      <c r="D422" s="93" t="s">
        <v>1504</v>
      </c>
      <c r="E422" s="93">
        <v>318.5</v>
      </c>
      <c r="F422" s="40" t="s">
        <v>1505</v>
      </c>
      <c r="G422" s="93">
        <v>320</v>
      </c>
      <c r="H422" s="16" t="s">
        <v>1047</v>
      </c>
      <c r="I422" s="40">
        <v>0.9</v>
      </c>
      <c r="J422" s="40">
        <f t="shared" si="68"/>
        <v>270</v>
      </c>
      <c r="K422" s="40"/>
      <c r="L422" s="47">
        <f t="shared" si="69"/>
        <v>1.458</v>
      </c>
      <c r="M422" s="47">
        <f t="shared" si="70"/>
        <v>1.215</v>
      </c>
      <c r="N422" s="16" t="s">
        <v>1068</v>
      </c>
      <c r="O422" s="16"/>
    </row>
    <row r="423" s="6" customFormat="1" ht="26" customHeight="1" spans="1:15">
      <c r="A423" s="22">
        <v>6</v>
      </c>
      <c r="B423" s="16" t="s">
        <v>103</v>
      </c>
      <c r="C423" s="90" t="s">
        <v>63</v>
      </c>
      <c r="D423" s="16" t="s">
        <v>1506</v>
      </c>
      <c r="E423" s="93">
        <v>302.1</v>
      </c>
      <c r="F423" s="40" t="s">
        <v>1507</v>
      </c>
      <c r="G423" s="93">
        <v>305.5</v>
      </c>
      <c r="H423" s="16" t="s">
        <v>1047</v>
      </c>
      <c r="I423" s="99">
        <v>1</v>
      </c>
      <c r="J423" s="40">
        <f t="shared" si="68"/>
        <v>300</v>
      </c>
      <c r="K423" s="40"/>
      <c r="L423" s="47">
        <f t="shared" si="69"/>
        <v>1.62</v>
      </c>
      <c r="M423" s="47">
        <f t="shared" si="70"/>
        <v>1.35</v>
      </c>
      <c r="N423" s="16" t="s">
        <v>1068</v>
      </c>
      <c r="O423" s="16"/>
    </row>
    <row r="424" s="6" customFormat="1" ht="26" customHeight="1" spans="1:15">
      <c r="A424" s="22">
        <v>7</v>
      </c>
      <c r="B424" s="16" t="s">
        <v>103</v>
      </c>
      <c r="C424" s="90" t="s">
        <v>512</v>
      </c>
      <c r="D424" s="16" t="s">
        <v>1508</v>
      </c>
      <c r="E424" s="93">
        <v>13.3</v>
      </c>
      <c r="F424" s="40" t="s">
        <v>1509</v>
      </c>
      <c r="G424" s="93">
        <v>14.8</v>
      </c>
      <c r="H424" s="16" t="s">
        <v>1047</v>
      </c>
      <c r="I424" s="40">
        <v>0.7</v>
      </c>
      <c r="J424" s="40">
        <f t="shared" si="68"/>
        <v>210</v>
      </c>
      <c r="K424" s="40"/>
      <c r="L424" s="47">
        <f t="shared" si="69"/>
        <v>1.134</v>
      </c>
      <c r="M424" s="47">
        <f t="shared" si="70"/>
        <v>0.945</v>
      </c>
      <c r="N424" s="16" t="s">
        <v>1068</v>
      </c>
      <c r="O424" s="16"/>
    </row>
    <row r="425" s="6" customFormat="1" ht="26" customHeight="1" spans="1:15">
      <c r="A425" s="22">
        <v>8</v>
      </c>
      <c r="B425" s="16" t="s">
        <v>103</v>
      </c>
      <c r="C425" s="90" t="s">
        <v>98</v>
      </c>
      <c r="D425" s="16" t="s">
        <v>1510</v>
      </c>
      <c r="E425" s="93">
        <v>956.75</v>
      </c>
      <c r="F425" s="40" t="s">
        <v>1511</v>
      </c>
      <c r="G425" s="93">
        <v>958</v>
      </c>
      <c r="H425" s="16" t="s">
        <v>1047</v>
      </c>
      <c r="I425" s="40">
        <v>0.7</v>
      </c>
      <c r="J425" s="40">
        <f t="shared" si="68"/>
        <v>210</v>
      </c>
      <c r="K425" s="40"/>
      <c r="L425" s="47">
        <f t="shared" si="69"/>
        <v>1.134</v>
      </c>
      <c r="M425" s="47">
        <f t="shared" si="70"/>
        <v>0.945</v>
      </c>
      <c r="N425" s="16" t="s">
        <v>1068</v>
      </c>
      <c r="O425" s="16"/>
    </row>
    <row r="426" s="6" customFormat="1" ht="26" customHeight="1" spans="1:15">
      <c r="A426" s="22">
        <v>9</v>
      </c>
      <c r="B426" s="16" t="s">
        <v>103</v>
      </c>
      <c r="C426" s="90" t="s">
        <v>588</v>
      </c>
      <c r="D426" s="16" t="s">
        <v>667</v>
      </c>
      <c r="E426" s="93">
        <v>51.1</v>
      </c>
      <c r="F426" s="40" t="s">
        <v>1512</v>
      </c>
      <c r="G426" s="93">
        <v>51.8</v>
      </c>
      <c r="H426" s="16" t="s">
        <v>1047</v>
      </c>
      <c r="I426" s="40">
        <v>0.7</v>
      </c>
      <c r="J426" s="40">
        <f t="shared" si="68"/>
        <v>210</v>
      </c>
      <c r="K426" s="40"/>
      <c r="L426" s="47">
        <f t="shared" si="69"/>
        <v>1.134</v>
      </c>
      <c r="M426" s="47">
        <f t="shared" si="70"/>
        <v>0.945</v>
      </c>
      <c r="N426" s="16" t="s">
        <v>1068</v>
      </c>
      <c r="O426" s="16"/>
    </row>
    <row r="427" s="6" customFormat="1" ht="26" customHeight="1" spans="1:15">
      <c r="A427" s="22">
        <v>10</v>
      </c>
      <c r="B427" s="16" t="s">
        <v>103</v>
      </c>
      <c r="C427" s="90" t="s">
        <v>588</v>
      </c>
      <c r="D427" s="16" t="s">
        <v>1513</v>
      </c>
      <c r="E427" s="93">
        <v>24.1</v>
      </c>
      <c r="F427" s="40" t="s">
        <v>1514</v>
      </c>
      <c r="G427" s="93">
        <v>26.6</v>
      </c>
      <c r="H427" s="16" t="s">
        <v>1047</v>
      </c>
      <c r="I427" s="40">
        <v>0.8</v>
      </c>
      <c r="J427" s="40">
        <f t="shared" si="68"/>
        <v>240</v>
      </c>
      <c r="K427" s="40"/>
      <c r="L427" s="47">
        <f t="shared" si="69"/>
        <v>1.296</v>
      </c>
      <c r="M427" s="47">
        <f t="shared" si="70"/>
        <v>1.08</v>
      </c>
      <c r="N427" s="16" t="s">
        <v>1068</v>
      </c>
      <c r="O427" s="16"/>
    </row>
    <row r="428" s="6" customFormat="1" ht="26" customHeight="1" spans="1:15">
      <c r="A428" s="22">
        <v>11</v>
      </c>
      <c r="B428" s="16" t="s">
        <v>103</v>
      </c>
      <c r="C428" s="90" t="s">
        <v>588</v>
      </c>
      <c r="D428" s="16" t="s">
        <v>1515</v>
      </c>
      <c r="E428" s="93">
        <v>20.7</v>
      </c>
      <c r="F428" s="40" t="s">
        <v>1516</v>
      </c>
      <c r="G428" s="93">
        <v>21.5</v>
      </c>
      <c r="H428" s="16" t="s">
        <v>1047</v>
      </c>
      <c r="I428" s="40">
        <v>0.5</v>
      </c>
      <c r="J428" s="40">
        <f t="shared" si="68"/>
        <v>150</v>
      </c>
      <c r="K428" s="40"/>
      <c r="L428" s="47">
        <f t="shared" si="69"/>
        <v>0.81</v>
      </c>
      <c r="M428" s="47">
        <f t="shared" si="70"/>
        <v>0.675</v>
      </c>
      <c r="N428" s="16" t="s">
        <v>1068</v>
      </c>
      <c r="O428" s="16"/>
    </row>
    <row r="429" s="6" customFormat="1" ht="26" customHeight="1" spans="1:15">
      <c r="A429" s="22">
        <v>12</v>
      </c>
      <c r="B429" s="16" t="s">
        <v>103</v>
      </c>
      <c r="C429" s="90" t="s">
        <v>588</v>
      </c>
      <c r="D429" s="16" t="s">
        <v>1517</v>
      </c>
      <c r="E429" s="93">
        <v>22.2</v>
      </c>
      <c r="F429" s="40" t="s">
        <v>1518</v>
      </c>
      <c r="G429" s="93">
        <v>23.5</v>
      </c>
      <c r="H429" s="16" t="s">
        <v>1047</v>
      </c>
      <c r="I429" s="40">
        <v>0.5</v>
      </c>
      <c r="J429" s="40">
        <f t="shared" si="68"/>
        <v>150</v>
      </c>
      <c r="K429" s="40"/>
      <c r="L429" s="47">
        <f t="shared" si="69"/>
        <v>0.81</v>
      </c>
      <c r="M429" s="47">
        <f t="shared" si="70"/>
        <v>0.675</v>
      </c>
      <c r="N429" s="16" t="s">
        <v>1068</v>
      </c>
      <c r="O429" s="16"/>
    </row>
    <row r="430" s="6" customFormat="1" ht="26" customHeight="1" spans="1:15">
      <c r="A430" s="22">
        <v>13</v>
      </c>
      <c r="B430" s="16" t="s">
        <v>103</v>
      </c>
      <c r="C430" s="90" t="s">
        <v>1519</v>
      </c>
      <c r="D430" s="16" t="s">
        <v>1520</v>
      </c>
      <c r="E430" s="93">
        <v>4.3</v>
      </c>
      <c r="F430" s="40" t="s">
        <v>1521</v>
      </c>
      <c r="G430" s="93">
        <v>5.8</v>
      </c>
      <c r="H430" s="16" t="s">
        <v>1047</v>
      </c>
      <c r="I430" s="40">
        <v>0.5</v>
      </c>
      <c r="J430" s="40">
        <f t="shared" si="68"/>
        <v>150</v>
      </c>
      <c r="K430" s="40"/>
      <c r="L430" s="47">
        <f t="shared" si="69"/>
        <v>0.81</v>
      </c>
      <c r="M430" s="47">
        <f t="shared" si="70"/>
        <v>0.675</v>
      </c>
      <c r="N430" s="16" t="s">
        <v>1068</v>
      </c>
      <c r="O430" s="16"/>
    </row>
    <row r="431" s="6" customFormat="1" ht="26" customHeight="1" spans="1:15">
      <c r="A431" s="22">
        <v>14</v>
      </c>
      <c r="B431" s="16" t="s">
        <v>103</v>
      </c>
      <c r="C431" s="90" t="s">
        <v>1519</v>
      </c>
      <c r="D431" s="16" t="s">
        <v>1522</v>
      </c>
      <c r="E431" s="93">
        <v>4.1</v>
      </c>
      <c r="F431" s="40" t="s">
        <v>1520</v>
      </c>
      <c r="G431" s="93">
        <v>4.5</v>
      </c>
      <c r="H431" s="16" t="s">
        <v>1047</v>
      </c>
      <c r="I431" s="40">
        <v>0.12</v>
      </c>
      <c r="J431" s="40"/>
      <c r="K431" s="40">
        <v>18</v>
      </c>
      <c r="L431" s="47">
        <f t="shared" si="69"/>
        <v>0.0972</v>
      </c>
      <c r="M431" s="47">
        <f t="shared" ref="M431:M433" si="71">K431*45/10000</f>
        <v>0.081</v>
      </c>
      <c r="N431" s="16" t="s">
        <v>1066</v>
      </c>
      <c r="O431" s="16"/>
    </row>
    <row r="432" s="6" customFormat="1" ht="26" customHeight="1" spans="1:15">
      <c r="A432" s="22">
        <v>15</v>
      </c>
      <c r="B432" s="16" t="s">
        <v>103</v>
      </c>
      <c r="C432" s="90" t="s">
        <v>1519</v>
      </c>
      <c r="D432" s="16" t="s">
        <v>1523</v>
      </c>
      <c r="E432" s="93">
        <v>6.4</v>
      </c>
      <c r="F432" s="16" t="s">
        <v>1524</v>
      </c>
      <c r="G432" s="93">
        <v>6.9</v>
      </c>
      <c r="H432" s="16" t="s">
        <v>1047</v>
      </c>
      <c r="I432" s="40">
        <v>0.18</v>
      </c>
      <c r="J432" s="40"/>
      <c r="K432" s="40">
        <v>27</v>
      </c>
      <c r="L432" s="47">
        <f t="shared" si="69"/>
        <v>0.1458</v>
      </c>
      <c r="M432" s="47">
        <f t="shared" si="71"/>
        <v>0.1215</v>
      </c>
      <c r="N432" s="16" t="s">
        <v>1066</v>
      </c>
      <c r="O432" s="16"/>
    </row>
    <row r="433" s="6" customFormat="1" ht="26" customHeight="1" spans="1:15">
      <c r="A433" s="23">
        <v>16</v>
      </c>
      <c r="B433" s="20" t="s">
        <v>103</v>
      </c>
      <c r="C433" s="94" t="s">
        <v>1519</v>
      </c>
      <c r="D433" s="20" t="s">
        <v>1525</v>
      </c>
      <c r="E433" s="95">
        <v>8.6</v>
      </c>
      <c r="F433" s="61" t="s">
        <v>1526</v>
      </c>
      <c r="G433" s="95">
        <v>9.1</v>
      </c>
      <c r="H433" s="16" t="s">
        <v>1047</v>
      </c>
      <c r="I433" s="40">
        <v>0.1</v>
      </c>
      <c r="J433" s="40"/>
      <c r="K433" s="40">
        <v>15</v>
      </c>
      <c r="L433" s="47">
        <f t="shared" si="69"/>
        <v>0.081</v>
      </c>
      <c r="M433" s="47">
        <f t="shared" si="71"/>
        <v>0.0675</v>
      </c>
      <c r="N433" s="16" t="s">
        <v>1066</v>
      </c>
      <c r="O433" s="16"/>
    </row>
    <row r="434" s="5" customFormat="1" ht="30" customHeight="1" spans="1:15">
      <c r="A434" s="15" t="s">
        <v>336</v>
      </c>
      <c r="B434" s="15"/>
      <c r="C434" s="15"/>
      <c r="D434" s="15"/>
      <c r="E434" s="15"/>
      <c r="F434" s="15"/>
      <c r="G434" s="15"/>
      <c r="H434" s="15"/>
      <c r="I434" s="69">
        <f t="shared" ref="I434:M434" si="72">SUM(I435:I505)</f>
        <v>7.09999999999999</v>
      </c>
      <c r="J434" s="69">
        <f t="shared" si="72"/>
        <v>2130</v>
      </c>
      <c r="K434" s="69">
        <f t="shared" si="72"/>
        <v>0</v>
      </c>
      <c r="L434" s="69">
        <f t="shared" si="72"/>
        <v>12.07</v>
      </c>
      <c r="M434" s="69">
        <f t="shared" si="72"/>
        <v>9.94</v>
      </c>
      <c r="N434" s="15"/>
      <c r="O434" s="15"/>
    </row>
    <row r="435" s="6" customFormat="1" ht="30" customHeight="1" spans="1:15">
      <c r="A435" s="96">
        <v>1</v>
      </c>
      <c r="B435" s="96" t="s">
        <v>336</v>
      </c>
      <c r="C435" s="96" t="s">
        <v>396</v>
      </c>
      <c r="D435" s="96"/>
      <c r="E435" s="97">
        <v>2085.15</v>
      </c>
      <c r="F435" s="97"/>
      <c r="G435" s="98">
        <v>2085.25</v>
      </c>
      <c r="H435" s="96" t="s">
        <v>1047</v>
      </c>
      <c r="I435" s="97">
        <v>0.1</v>
      </c>
      <c r="J435" s="97">
        <v>30</v>
      </c>
      <c r="K435" s="97"/>
      <c r="L435" s="100">
        <f t="shared" ref="L435:L498" si="73">M435*1.2</f>
        <v>0.17</v>
      </c>
      <c r="M435" s="100">
        <f t="shared" ref="M435:M498" si="74">J435*45/10000</f>
        <v>0.14</v>
      </c>
      <c r="N435" s="96" t="s">
        <v>1052</v>
      </c>
      <c r="O435" s="97"/>
    </row>
    <row r="436" s="6" customFormat="1" ht="30" customHeight="1" spans="1:15">
      <c r="A436" s="96">
        <v>2</v>
      </c>
      <c r="B436" s="96" t="s">
        <v>336</v>
      </c>
      <c r="C436" s="96" t="s">
        <v>396</v>
      </c>
      <c r="D436" s="96"/>
      <c r="E436" s="97">
        <v>2085.5</v>
      </c>
      <c r="F436" s="96"/>
      <c r="G436" s="96">
        <v>2085.6</v>
      </c>
      <c r="H436" s="96" t="s">
        <v>1047</v>
      </c>
      <c r="I436" s="97">
        <v>0.1</v>
      </c>
      <c r="J436" s="97">
        <v>30</v>
      </c>
      <c r="K436" s="96"/>
      <c r="L436" s="100">
        <f t="shared" si="73"/>
        <v>0.17</v>
      </c>
      <c r="M436" s="100">
        <f t="shared" si="74"/>
        <v>0.14</v>
      </c>
      <c r="N436" s="96" t="s">
        <v>1052</v>
      </c>
      <c r="O436" s="97"/>
    </row>
    <row r="437" s="6" customFormat="1" ht="30" customHeight="1" spans="1:15">
      <c r="A437" s="96">
        <v>3</v>
      </c>
      <c r="B437" s="96" t="s">
        <v>336</v>
      </c>
      <c r="C437" s="96" t="s">
        <v>396</v>
      </c>
      <c r="D437" s="96"/>
      <c r="E437" s="97">
        <v>2120.52</v>
      </c>
      <c r="F437" s="96"/>
      <c r="G437" s="96">
        <v>2120.62</v>
      </c>
      <c r="H437" s="96" t="s">
        <v>1047</v>
      </c>
      <c r="I437" s="97">
        <v>0.1</v>
      </c>
      <c r="J437" s="97">
        <v>30</v>
      </c>
      <c r="K437" s="96"/>
      <c r="L437" s="100">
        <f t="shared" si="73"/>
        <v>0.17</v>
      </c>
      <c r="M437" s="100">
        <f t="shared" si="74"/>
        <v>0.14</v>
      </c>
      <c r="N437" s="96" t="s">
        <v>1052</v>
      </c>
      <c r="O437" s="97"/>
    </row>
    <row r="438" s="6" customFormat="1" ht="30" customHeight="1" spans="1:15">
      <c r="A438" s="96">
        <v>4</v>
      </c>
      <c r="B438" s="96" t="s">
        <v>336</v>
      </c>
      <c r="C438" s="96" t="s">
        <v>396</v>
      </c>
      <c r="D438" s="96"/>
      <c r="E438" s="97">
        <v>2129.1</v>
      </c>
      <c r="F438" s="96"/>
      <c r="G438" s="96">
        <v>2129.2</v>
      </c>
      <c r="H438" s="96" t="s">
        <v>1047</v>
      </c>
      <c r="I438" s="97">
        <v>0.1</v>
      </c>
      <c r="J438" s="97">
        <v>30</v>
      </c>
      <c r="K438" s="96"/>
      <c r="L438" s="100">
        <f t="shared" si="73"/>
        <v>0.17</v>
      </c>
      <c r="M438" s="100">
        <f t="shared" si="74"/>
        <v>0.14</v>
      </c>
      <c r="N438" s="96" t="s">
        <v>1052</v>
      </c>
      <c r="O438" s="97"/>
    </row>
    <row r="439" s="6" customFormat="1" ht="30" customHeight="1" spans="1:15">
      <c r="A439" s="96">
        <v>5</v>
      </c>
      <c r="B439" s="96" t="s">
        <v>336</v>
      </c>
      <c r="C439" s="96" t="s">
        <v>396</v>
      </c>
      <c r="D439" s="96"/>
      <c r="E439" s="97">
        <v>2129.6</v>
      </c>
      <c r="F439" s="96"/>
      <c r="G439" s="96">
        <v>2129.7</v>
      </c>
      <c r="H439" s="96" t="s">
        <v>1047</v>
      </c>
      <c r="I439" s="97">
        <v>0.1</v>
      </c>
      <c r="J439" s="97">
        <v>30</v>
      </c>
      <c r="K439" s="96"/>
      <c r="L439" s="100">
        <f t="shared" si="73"/>
        <v>0.17</v>
      </c>
      <c r="M439" s="100">
        <f t="shared" si="74"/>
        <v>0.14</v>
      </c>
      <c r="N439" s="96" t="s">
        <v>1052</v>
      </c>
      <c r="O439" s="97"/>
    </row>
    <row r="440" s="6" customFormat="1" ht="30" customHeight="1" spans="1:15">
      <c r="A440" s="96">
        <v>6</v>
      </c>
      <c r="B440" s="96" t="s">
        <v>336</v>
      </c>
      <c r="C440" s="96" t="s">
        <v>396</v>
      </c>
      <c r="D440" s="96"/>
      <c r="E440" s="97">
        <v>2130.1</v>
      </c>
      <c r="F440" s="96"/>
      <c r="G440" s="96">
        <v>2130.2</v>
      </c>
      <c r="H440" s="96" t="s">
        <v>1047</v>
      </c>
      <c r="I440" s="97">
        <v>0.1</v>
      </c>
      <c r="J440" s="97">
        <v>30</v>
      </c>
      <c r="K440" s="96"/>
      <c r="L440" s="100">
        <f t="shared" si="73"/>
        <v>0.17</v>
      </c>
      <c r="M440" s="100">
        <f t="shared" si="74"/>
        <v>0.14</v>
      </c>
      <c r="N440" s="96" t="s">
        <v>1052</v>
      </c>
      <c r="O440" s="97"/>
    </row>
    <row r="441" s="6" customFormat="1" ht="30" customHeight="1" spans="1:15">
      <c r="A441" s="96">
        <v>7</v>
      </c>
      <c r="B441" s="96" t="s">
        <v>336</v>
      </c>
      <c r="C441" s="96" t="s">
        <v>396</v>
      </c>
      <c r="D441" s="96"/>
      <c r="E441" s="97">
        <v>2130.6</v>
      </c>
      <c r="F441" s="96"/>
      <c r="G441" s="96">
        <v>2130.7</v>
      </c>
      <c r="H441" s="96" t="s">
        <v>1047</v>
      </c>
      <c r="I441" s="97">
        <v>0.1</v>
      </c>
      <c r="J441" s="97">
        <v>30</v>
      </c>
      <c r="K441" s="96"/>
      <c r="L441" s="100">
        <f t="shared" si="73"/>
        <v>0.17</v>
      </c>
      <c r="M441" s="100">
        <f t="shared" si="74"/>
        <v>0.14</v>
      </c>
      <c r="N441" s="96" t="s">
        <v>1052</v>
      </c>
      <c r="O441" s="101"/>
    </row>
    <row r="442" s="6" customFormat="1" ht="30" customHeight="1" spans="1:15">
      <c r="A442" s="96">
        <v>8</v>
      </c>
      <c r="B442" s="96" t="s">
        <v>336</v>
      </c>
      <c r="C442" s="96" t="s">
        <v>396</v>
      </c>
      <c r="D442" s="96"/>
      <c r="E442" s="97">
        <v>2131.2</v>
      </c>
      <c r="F442" s="96"/>
      <c r="G442" s="96">
        <v>2131.3</v>
      </c>
      <c r="H442" s="96" t="s">
        <v>1047</v>
      </c>
      <c r="I442" s="97">
        <v>0.1</v>
      </c>
      <c r="J442" s="97">
        <v>30</v>
      </c>
      <c r="K442" s="96"/>
      <c r="L442" s="100">
        <f t="shared" si="73"/>
        <v>0.17</v>
      </c>
      <c r="M442" s="100">
        <f t="shared" si="74"/>
        <v>0.14</v>
      </c>
      <c r="N442" s="96" t="s">
        <v>1052</v>
      </c>
      <c r="O442" s="101"/>
    </row>
    <row r="443" s="6" customFormat="1" ht="30" customHeight="1" spans="1:15">
      <c r="A443" s="96">
        <v>9</v>
      </c>
      <c r="B443" s="96" t="s">
        <v>336</v>
      </c>
      <c r="C443" s="96" t="s">
        <v>396</v>
      </c>
      <c r="D443" s="96"/>
      <c r="E443" s="97">
        <v>2131.5</v>
      </c>
      <c r="F443" s="96"/>
      <c r="G443" s="96">
        <v>2131.6</v>
      </c>
      <c r="H443" s="96" t="s">
        <v>1047</v>
      </c>
      <c r="I443" s="97">
        <v>0.1</v>
      </c>
      <c r="J443" s="97">
        <v>30</v>
      </c>
      <c r="K443" s="96"/>
      <c r="L443" s="100">
        <f t="shared" si="73"/>
        <v>0.17</v>
      </c>
      <c r="M443" s="100">
        <f t="shared" si="74"/>
        <v>0.14</v>
      </c>
      <c r="N443" s="96" t="s">
        <v>1052</v>
      </c>
      <c r="O443" s="101"/>
    </row>
    <row r="444" s="6" customFormat="1" ht="30" customHeight="1" spans="1:15">
      <c r="A444" s="96">
        <v>10</v>
      </c>
      <c r="B444" s="96" t="s">
        <v>336</v>
      </c>
      <c r="C444" s="96" t="s">
        <v>396</v>
      </c>
      <c r="D444" s="96"/>
      <c r="E444" s="97">
        <v>2135.55</v>
      </c>
      <c r="F444" s="96"/>
      <c r="G444" s="96">
        <v>2135.65</v>
      </c>
      <c r="H444" s="96" t="s">
        <v>1047</v>
      </c>
      <c r="I444" s="97">
        <v>0.1</v>
      </c>
      <c r="J444" s="97">
        <v>30</v>
      </c>
      <c r="K444" s="96"/>
      <c r="L444" s="100">
        <f t="shared" si="73"/>
        <v>0.17</v>
      </c>
      <c r="M444" s="100">
        <f t="shared" si="74"/>
        <v>0.14</v>
      </c>
      <c r="N444" s="96" t="s">
        <v>1052</v>
      </c>
      <c r="O444" s="101"/>
    </row>
    <row r="445" s="6" customFormat="1" ht="30" customHeight="1" spans="1:15">
      <c r="A445" s="96">
        <v>11</v>
      </c>
      <c r="B445" s="96" t="s">
        <v>336</v>
      </c>
      <c r="C445" s="96" t="s">
        <v>396</v>
      </c>
      <c r="D445" s="96"/>
      <c r="E445" s="97">
        <v>2135.9</v>
      </c>
      <c r="F445" s="96"/>
      <c r="G445" s="96">
        <v>2136</v>
      </c>
      <c r="H445" s="96" t="s">
        <v>1047</v>
      </c>
      <c r="I445" s="97">
        <v>0.1</v>
      </c>
      <c r="J445" s="97">
        <v>30</v>
      </c>
      <c r="K445" s="96"/>
      <c r="L445" s="100">
        <f t="shared" si="73"/>
        <v>0.17</v>
      </c>
      <c r="M445" s="100">
        <f t="shared" si="74"/>
        <v>0.14</v>
      </c>
      <c r="N445" s="96" t="s">
        <v>1052</v>
      </c>
      <c r="O445" s="101"/>
    </row>
    <row r="446" s="6" customFormat="1" ht="30" customHeight="1" spans="1:15">
      <c r="A446" s="96">
        <v>12</v>
      </c>
      <c r="B446" s="96" t="s">
        <v>336</v>
      </c>
      <c r="C446" s="96" t="s">
        <v>396</v>
      </c>
      <c r="D446" s="96"/>
      <c r="E446" s="97">
        <v>2136.5</v>
      </c>
      <c r="F446" s="96"/>
      <c r="G446" s="97">
        <v>2136.6</v>
      </c>
      <c r="H446" s="96" t="s">
        <v>1047</v>
      </c>
      <c r="I446" s="97">
        <v>0.1</v>
      </c>
      <c r="J446" s="97">
        <v>30</v>
      </c>
      <c r="K446" s="96"/>
      <c r="L446" s="100">
        <f t="shared" si="73"/>
        <v>0.17</v>
      </c>
      <c r="M446" s="100">
        <f t="shared" si="74"/>
        <v>0.14</v>
      </c>
      <c r="N446" s="96" t="s">
        <v>1052</v>
      </c>
      <c r="O446" s="101"/>
    </row>
    <row r="447" s="6" customFormat="1" ht="30" customHeight="1" spans="1:15">
      <c r="A447" s="96">
        <v>13</v>
      </c>
      <c r="B447" s="96" t="s">
        <v>336</v>
      </c>
      <c r="C447" s="96" t="s">
        <v>396</v>
      </c>
      <c r="D447" s="96"/>
      <c r="E447" s="97">
        <v>2136.7</v>
      </c>
      <c r="F447" s="96"/>
      <c r="G447" s="97">
        <v>2136.8</v>
      </c>
      <c r="H447" s="96" t="s">
        <v>1047</v>
      </c>
      <c r="I447" s="97">
        <v>0.1</v>
      </c>
      <c r="J447" s="97">
        <v>30</v>
      </c>
      <c r="K447" s="96"/>
      <c r="L447" s="100">
        <f t="shared" si="73"/>
        <v>0.17</v>
      </c>
      <c r="M447" s="100">
        <f t="shared" si="74"/>
        <v>0.14</v>
      </c>
      <c r="N447" s="96" t="s">
        <v>1052</v>
      </c>
      <c r="O447" s="101"/>
    </row>
    <row r="448" s="6" customFormat="1" ht="30" customHeight="1" spans="1:15">
      <c r="A448" s="96">
        <v>14</v>
      </c>
      <c r="B448" s="96" t="s">
        <v>336</v>
      </c>
      <c r="C448" s="97" t="s">
        <v>1527</v>
      </c>
      <c r="D448" s="96"/>
      <c r="E448" s="97">
        <v>18.35</v>
      </c>
      <c r="F448" s="96"/>
      <c r="G448" s="97">
        <v>18.45</v>
      </c>
      <c r="H448" s="96" t="s">
        <v>1047</v>
      </c>
      <c r="I448" s="97">
        <v>0.1</v>
      </c>
      <c r="J448" s="97">
        <v>30</v>
      </c>
      <c r="K448" s="96"/>
      <c r="L448" s="100">
        <f t="shared" si="73"/>
        <v>0.17</v>
      </c>
      <c r="M448" s="100">
        <f t="shared" si="74"/>
        <v>0.14</v>
      </c>
      <c r="N448" s="96" t="s">
        <v>1052</v>
      </c>
      <c r="O448" s="96"/>
    </row>
    <row r="449" s="6" customFormat="1" ht="30" customHeight="1" spans="1:15">
      <c r="A449" s="96">
        <v>15</v>
      </c>
      <c r="B449" s="96" t="s">
        <v>336</v>
      </c>
      <c r="C449" s="97" t="s">
        <v>1527</v>
      </c>
      <c r="D449" s="96"/>
      <c r="E449" s="97">
        <v>22.4</v>
      </c>
      <c r="F449" s="96"/>
      <c r="G449" s="97">
        <v>22.5</v>
      </c>
      <c r="H449" s="96" t="s">
        <v>1047</v>
      </c>
      <c r="I449" s="97">
        <v>0.1</v>
      </c>
      <c r="J449" s="97">
        <v>30</v>
      </c>
      <c r="K449" s="96"/>
      <c r="L449" s="100">
        <f t="shared" si="73"/>
        <v>0.17</v>
      </c>
      <c r="M449" s="100">
        <f t="shared" si="74"/>
        <v>0.14</v>
      </c>
      <c r="N449" s="96" t="s">
        <v>1052</v>
      </c>
      <c r="O449" s="96"/>
    </row>
    <row r="450" s="6" customFormat="1" ht="30" customHeight="1" spans="1:15">
      <c r="A450" s="96">
        <v>16</v>
      </c>
      <c r="B450" s="96" t="s">
        <v>336</v>
      </c>
      <c r="C450" s="97" t="s">
        <v>1527</v>
      </c>
      <c r="D450" s="96"/>
      <c r="E450" s="97">
        <v>22.65</v>
      </c>
      <c r="F450" s="96"/>
      <c r="G450" s="97">
        <v>22.75</v>
      </c>
      <c r="H450" s="96" t="s">
        <v>1047</v>
      </c>
      <c r="I450" s="97">
        <v>0.1</v>
      </c>
      <c r="J450" s="97">
        <v>30</v>
      </c>
      <c r="K450" s="96"/>
      <c r="L450" s="100">
        <f t="shared" si="73"/>
        <v>0.17</v>
      </c>
      <c r="M450" s="100">
        <f t="shared" si="74"/>
        <v>0.14</v>
      </c>
      <c r="N450" s="96" t="s">
        <v>1052</v>
      </c>
      <c r="O450" s="96"/>
    </row>
    <row r="451" s="6" customFormat="1" ht="30" customHeight="1" spans="1:15">
      <c r="A451" s="96">
        <v>17</v>
      </c>
      <c r="B451" s="96" t="s">
        <v>336</v>
      </c>
      <c r="C451" s="97" t="s">
        <v>1527</v>
      </c>
      <c r="D451" s="96"/>
      <c r="E451" s="97">
        <v>24.57</v>
      </c>
      <c r="F451" s="96"/>
      <c r="G451" s="97">
        <v>24.67</v>
      </c>
      <c r="H451" s="96" t="s">
        <v>1047</v>
      </c>
      <c r="I451" s="97">
        <v>0.1</v>
      </c>
      <c r="J451" s="97">
        <v>30</v>
      </c>
      <c r="K451" s="96"/>
      <c r="L451" s="100">
        <f t="shared" si="73"/>
        <v>0.17</v>
      </c>
      <c r="M451" s="100">
        <f t="shared" si="74"/>
        <v>0.14</v>
      </c>
      <c r="N451" s="96" t="s">
        <v>1052</v>
      </c>
      <c r="O451" s="101"/>
    </row>
    <row r="452" s="6" customFormat="1" ht="30" customHeight="1" spans="1:15">
      <c r="A452" s="96">
        <v>18</v>
      </c>
      <c r="B452" s="96" t="s">
        <v>336</v>
      </c>
      <c r="C452" s="97" t="s">
        <v>1527</v>
      </c>
      <c r="D452" s="96"/>
      <c r="E452" s="97">
        <v>24.75</v>
      </c>
      <c r="F452" s="96"/>
      <c r="G452" s="97">
        <v>24.85</v>
      </c>
      <c r="H452" s="96" t="s">
        <v>1047</v>
      </c>
      <c r="I452" s="97">
        <v>0.1</v>
      </c>
      <c r="J452" s="97">
        <v>30</v>
      </c>
      <c r="K452" s="96"/>
      <c r="L452" s="100">
        <f t="shared" si="73"/>
        <v>0.17</v>
      </c>
      <c r="M452" s="100">
        <f t="shared" si="74"/>
        <v>0.14</v>
      </c>
      <c r="N452" s="96" t="s">
        <v>1052</v>
      </c>
      <c r="O452" s="101"/>
    </row>
    <row r="453" s="6" customFormat="1" ht="30" customHeight="1" spans="1:15">
      <c r="A453" s="96">
        <v>19</v>
      </c>
      <c r="B453" s="96" t="s">
        <v>336</v>
      </c>
      <c r="C453" s="97" t="s">
        <v>1527</v>
      </c>
      <c r="D453" s="96"/>
      <c r="E453" s="97">
        <v>25.1</v>
      </c>
      <c r="F453" s="96"/>
      <c r="G453" s="97">
        <v>25.2</v>
      </c>
      <c r="H453" s="96" t="s">
        <v>1047</v>
      </c>
      <c r="I453" s="97">
        <v>0.1</v>
      </c>
      <c r="J453" s="97">
        <v>30</v>
      </c>
      <c r="K453" s="96"/>
      <c r="L453" s="100">
        <f t="shared" si="73"/>
        <v>0.17</v>
      </c>
      <c r="M453" s="100">
        <f t="shared" si="74"/>
        <v>0.14</v>
      </c>
      <c r="N453" s="96" t="s">
        <v>1052</v>
      </c>
      <c r="O453" s="101"/>
    </row>
    <row r="454" s="6" customFormat="1" ht="30" customHeight="1" spans="1:15">
      <c r="A454" s="96">
        <v>20</v>
      </c>
      <c r="B454" s="96" t="s">
        <v>336</v>
      </c>
      <c r="C454" s="97" t="s">
        <v>1527</v>
      </c>
      <c r="D454" s="96"/>
      <c r="E454" s="97">
        <v>24.95</v>
      </c>
      <c r="F454" s="96"/>
      <c r="G454" s="97">
        <v>25.05</v>
      </c>
      <c r="H454" s="96" t="s">
        <v>1047</v>
      </c>
      <c r="I454" s="97">
        <v>0.1</v>
      </c>
      <c r="J454" s="97">
        <v>30</v>
      </c>
      <c r="K454" s="96"/>
      <c r="L454" s="100">
        <f t="shared" si="73"/>
        <v>0.17</v>
      </c>
      <c r="M454" s="100">
        <f t="shared" si="74"/>
        <v>0.14</v>
      </c>
      <c r="N454" s="96" t="s">
        <v>1052</v>
      </c>
      <c r="O454" s="101"/>
    </row>
    <row r="455" s="6" customFormat="1" ht="30" customHeight="1" spans="1:15">
      <c r="A455" s="96">
        <v>21</v>
      </c>
      <c r="B455" s="96" t="s">
        <v>336</v>
      </c>
      <c r="C455" s="97" t="s">
        <v>1527</v>
      </c>
      <c r="D455" s="96"/>
      <c r="E455" s="97">
        <v>24</v>
      </c>
      <c r="F455" s="96"/>
      <c r="G455" s="97">
        <v>24.1</v>
      </c>
      <c r="H455" s="96" t="s">
        <v>1047</v>
      </c>
      <c r="I455" s="97">
        <v>0.1</v>
      </c>
      <c r="J455" s="97">
        <v>30</v>
      </c>
      <c r="K455" s="96"/>
      <c r="L455" s="100">
        <f t="shared" si="73"/>
        <v>0.17</v>
      </c>
      <c r="M455" s="100">
        <f t="shared" si="74"/>
        <v>0.14</v>
      </c>
      <c r="N455" s="96" t="s">
        <v>1052</v>
      </c>
      <c r="O455" s="101"/>
    </row>
    <row r="456" s="6" customFormat="1" ht="30" customHeight="1" spans="1:15">
      <c r="A456" s="96">
        <v>22</v>
      </c>
      <c r="B456" s="96" t="s">
        <v>336</v>
      </c>
      <c r="C456" s="97" t="s">
        <v>1527</v>
      </c>
      <c r="D456" s="96"/>
      <c r="E456" s="97">
        <v>23.8</v>
      </c>
      <c r="F456" s="96"/>
      <c r="G456" s="97">
        <v>23.9</v>
      </c>
      <c r="H456" s="96" t="s">
        <v>1047</v>
      </c>
      <c r="I456" s="97">
        <v>0.1</v>
      </c>
      <c r="J456" s="97">
        <v>30</v>
      </c>
      <c r="K456" s="96"/>
      <c r="L456" s="100">
        <f t="shared" si="73"/>
        <v>0.17</v>
      </c>
      <c r="M456" s="100">
        <f t="shared" si="74"/>
        <v>0.14</v>
      </c>
      <c r="N456" s="96" t="s">
        <v>1052</v>
      </c>
      <c r="O456" s="101"/>
    </row>
    <row r="457" s="6" customFormat="1" ht="30" customHeight="1" spans="1:15">
      <c r="A457" s="96">
        <v>23</v>
      </c>
      <c r="B457" s="96" t="s">
        <v>336</v>
      </c>
      <c r="C457" s="97" t="s">
        <v>331</v>
      </c>
      <c r="D457" s="96"/>
      <c r="E457" s="97">
        <v>975.2</v>
      </c>
      <c r="F457" s="96"/>
      <c r="G457" s="97">
        <v>975.3</v>
      </c>
      <c r="H457" s="96" t="s">
        <v>1047</v>
      </c>
      <c r="I457" s="97">
        <v>0.1</v>
      </c>
      <c r="J457" s="97">
        <v>30</v>
      </c>
      <c r="K457" s="96"/>
      <c r="L457" s="100">
        <f t="shared" si="73"/>
        <v>0.17</v>
      </c>
      <c r="M457" s="100">
        <f t="shared" si="74"/>
        <v>0.14</v>
      </c>
      <c r="N457" s="96" t="s">
        <v>1052</v>
      </c>
      <c r="O457" s="101"/>
    </row>
    <row r="458" s="6" customFormat="1" ht="30" customHeight="1" spans="1:15">
      <c r="A458" s="96">
        <v>24</v>
      </c>
      <c r="B458" s="96" t="s">
        <v>336</v>
      </c>
      <c r="C458" s="97" t="s">
        <v>331</v>
      </c>
      <c r="D458" s="96"/>
      <c r="E458" s="97">
        <v>975.5</v>
      </c>
      <c r="F458" s="96"/>
      <c r="G458" s="97">
        <v>975.6</v>
      </c>
      <c r="H458" s="96" t="s">
        <v>1047</v>
      </c>
      <c r="I458" s="97">
        <v>0.1</v>
      </c>
      <c r="J458" s="97">
        <v>30</v>
      </c>
      <c r="K458" s="96"/>
      <c r="L458" s="100">
        <f t="shared" si="73"/>
        <v>0.17</v>
      </c>
      <c r="M458" s="100">
        <f t="shared" si="74"/>
        <v>0.14</v>
      </c>
      <c r="N458" s="96" t="s">
        <v>1052</v>
      </c>
      <c r="O458" s="101"/>
    </row>
    <row r="459" s="6" customFormat="1" ht="30" customHeight="1" spans="1:15">
      <c r="A459" s="96">
        <v>25</v>
      </c>
      <c r="B459" s="96" t="s">
        <v>336</v>
      </c>
      <c r="C459" s="97" t="s">
        <v>331</v>
      </c>
      <c r="D459" s="96"/>
      <c r="E459" s="97">
        <v>979.78</v>
      </c>
      <c r="F459" s="96"/>
      <c r="G459" s="97">
        <v>979.9</v>
      </c>
      <c r="H459" s="96" t="s">
        <v>1047</v>
      </c>
      <c r="I459" s="97">
        <v>0.1</v>
      </c>
      <c r="J459" s="97">
        <v>30</v>
      </c>
      <c r="K459" s="96"/>
      <c r="L459" s="100">
        <f t="shared" si="73"/>
        <v>0.17</v>
      </c>
      <c r="M459" s="100">
        <f t="shared" si="74"/>
        <v>0.14</v>
      </c>
      <c r="N459" s="96" t="s">
        <v>1052</v>
      </c>
      <c r="O459" s="96"/>
    </row>
    <row r="460" s="6" customFormat="1" ht="30" customHeight="1" spans="1:15">
      <c r="A460" s="96">
        <v>26</v>
      </c>
      <c r="B460" s="96" t="s">
        <v>336</v>
      </c>
      <c r="C460" s="97" t="s">
        <v>331</v>
      </c>
      <c r="D460" s="96"/>
      <c r="E460" s="97">
        <v>984.38</v>
      </c>
      <c r="F460" s="96"/>
      <c r="G460" s="97">
        <v>984.48</v>
      </c>
      <c r="H460" s="96" t="s">
        <v>1047</v>
      </c>
      <c r="I460" s="97">
        <v>0.1</v>
      </c>
      <c r="J460" s="97">
        <v>30</v>
      </c>
      <c r="K460" s="96"/>
      <c r="L460" s="100">
        <f t="shared" si="73"/>
        <v>0.17</v>
      </c>
      <c r="M460" s="100">
        <f t="shared" si="74"/>
        <v>0.14</v>
      </c>
      <c r="N460" s="96" t="s">
        <v>1052</v>
      </c>
      <c r="O460" s="101"/>
    </row>
    <row r="461" s="6" customFormat="1" ht="30" customHeight="1" spans="1:15">
      <c r="A461" s="96">
        <v>27</v>
      </c>
      <c r="B461" s="96" t="s">
        <v>336</v>
      </c>
      <c r="C461" s="97" t="s">
        <v>331</v>
      </c>
      <c r="D461" s="96"/>
      <c r="E461" s="97">
        <v>985.08</v>
      </c>
      <c r="F461" s="96"/>
      <c r="G461" s="97">
        <v>985.18</v>
      </c>
      <c r="H461" s="96" t="s">
        <v>1047</v>
      </c>
      <c r="I461" s="97">
        <v>0.1</v>
      </c>
      <c r="J461" s="97">
        <v>30</v>
      </c>
      <c r="K461" s="96"/>
      <c r="L461" s="100">
        <f t="shared" si="73"/>
        <v>0.17</v>
      </c>
      <c r="M461" s="100">
        <f t="shared" si="74"/>
        <v>0.14</v>
      </c>
      <c r="N461" s="96" t="s">
        <v>1052</v>
      </c>
      <c r="O461" s="101"/>
    </row>
    <row r="462" s="6" customFormat="1" ht="30" customHeight="1" spans="1:15">
      <c r="A462" s="96">
        <v>28</v>
      </c>
      <c r="B462" s="96" t="s">
        <v>336</v>
      </c>
      <c r="C462" s="97" t="s">
        <v>331</v>
      </c>
      <c r="D462" s="96"/>
      <c r="E462" s="97">
        <v>985.2</v>
      </c>
      <c r="F462" s="96"/>
      <c r="G462" s="97">
        <v>985.3</v>
      </c>
      <c r="H462" s="96" t="s">
        <v>1047</v>
      </c>
      <c r="I462" s="97">
        <v>0.1</v>
      </c>
      <c r="J462" s="97">
        <v>30</v>
      </c>
      <c r="K462" s="96"/>
      <c r="L462" s="100">
        <f t="shared" si="73"/>
        <v>0.17</v>
      </c>
      <c r="M462" s="100">
        <f t="shared" si="74"/>
        <v>0.14</v>
      </c>
      <c r="N462" s="96" t="s">
        <v>1052</v>
      </c>
      <c r="O462" s="101"/>
    </row>
    <row r="463" s="6" customFormat="1" ht="30" customHeight="1" spans="1:15">
      <c r="A463" s="96">
        <v>29</v>
      </c>
      <c r="B463" s="96" t="s">
        <v>336</v>
      </c>
      <c r="C463" s="97" t="s">
        <v>331</v>
      </c>
      <c r="D463" s="96"/>
      <c r="E463" s="97">
        <v>1012.4</v>
      </c>
      <c r="F463" s="96"/>
      <c r="G463" s="97">
        <v>1012.5</v>
      </c>
      <c r="H463" s="96" t="s">
        <v>1047</v>
      </c>
      <c r="I463" s="97">
        <v>0.1</v>
      </c>
      <c r="J463" s="97">
        <v>30</v>
      </c>
      <c r="K463" s="96"/>
      <c r="L463" s="100">
        <f t="shared" si="73"/>
        <v>0.17</v>
      </c>
      <c r="M463" s="100">
        <f t="shared" si="74"/>
        <v>0.14</v>
      </c>
      <c r="N463" s="96" t="s">
        <v>1052</v>
      </c>
      <c r="O463" s="101"/>
    </row>
    <row r="464" s="6" customFormat="1" ht="30" customHeight="1" spans="1:15">
      <c r="A464" s="96">
        <v>30</v>
      </c>
      <c r="B464" s="96" t="s">
        <v>336</v>
      </c>
      <c r="C464" s="97" t="s">
        <v>331</v>
      </c>
      <c r="D464" s="96"/>
      <c r="E464" s="97">
        <v>1012.7</v>
      </c>
      <c r="F464" s="96"/>
      <c r="G464" s="97">
        <v>1012.8</v>
      </c>
      <c r="H464" s="96" t="s">
        <v>1047</v>
      </c>
      <c r="I464" s="97">
        <v>0.1</v>
      </c>
      <c r="J464" s="97">
        <v>30</v>
      </c>
      <c r="K464" s="96"/>
      <c r="L464" s="100">
        <f t="shared" si="73"/>
        <v>0.17</v>
      </c>
      <c r="M464" s="100">
        <f t="shared" si="74"/>
        <v>0.14</v>
      </c>
      <c r="N464" s="96" t="s">
        <v>1052</v>
      </c>
      <c r="O464" s="101"/>
    </row>
    <row r="465" s="6" customFormat="1" ht="30" customHeight="1" spans="1:15">
      <c r="A465" s="96">
        <v>31</v>
      </c>
      <c r="B465" s="96" t="s">
        <v>336</v>
      </c>
      <c r="C465" s="97" t="s">
        <v>1528</v>
      </c>
      <c r="D465" s="96"/>
      <c r="E465" s="97">
        <v>561.8</v>
      </c>
      <c r="F465" s="96"/>
      <c r="G465" s="97">
        <v>561.9</v>
      </c>
      <c r="H465" s="96" t="s">
        <v>1047</v>
      </c>
      <c r="I465" s="97">
        <v>0.1</v>
      </c>
      <c r="J465" s="97">
        <v>30</v>
      </c>
      <c r="K465" s="96"/>
      <c r="L465" s="100">
        <f t="shared" si="73"/>
        <v>0.17</v>
      </c>
      <c r="M465" s="100">
        <f t="shared" si="74"/>
        <v>0.14</v>
      </c>
      <c r="N465" s="96" t="s">
        <v>1052</v>
      </c>
      <c r="O465" s="101"/>
    </row>
    <row r="466" s="6" customFormat="1" ht="30" customHeight="1" spans="1:15">
      <c r="A466" s="96">
        <v>32</v>
      </c>
      <c r="B466" s="96" t="s">
        <v>336</v>
      </c>
      <c r="C466" s="97" t="s">
        <v>1528</v>
      </c>
      <c r="D466" s="96"/>
      <c r="E466" s="97">
        <v>562</v>
      </c>
      <c r="F466" s="96"/>
      <c r="G466" s="97">
        <v>562.1</v>
      </c>
      <c r="H466" s="96" t="s">
        <v>1047</v>
      </c>
      <c r="I466" s="97">
        <v>0.1</v>
      </c>
      <c r="J466" s="97">
        <v>30</v>
      </c>
      <c r="K466" s="96"/>
      <c r="L466" s="100">
        <f t="shared" si="73"/>
        <v>0.17</v>
      </c>
      <c r="M466" s="100">
        <f t="shared" si="74"/>
        <v>0.14</v>
      </c>
      <c r="N466" s="96" t="s">
        <v>1052</v>
      </c>
      <c r="O466" s="101"/>
    </row>
    <row r="467" s="6" customFormat="1" ht="30" customHeight="1" spans="1:15">
      <c r="A467" s="96">
        <v>33</v>
      </c>
      <c r="B467" s="96" t="s">
        <v>336</v>
      </c>
      <c r="C467" s="97" t="s">
        <v>1528</v>
      </c>
      <c r="D467" s="96"/>
      <c r="E467" s="97">
        <v>563.1</v>
      </c>
      <c r="F467" s="96"/>
      <c r="G467" s="97">
        <v>563.2</v>
      </c>
      <c r="H467" s="96" t="s">
        <v>1047</v>
      </c>
      <c r="I467" s="97">
        <v>0.1</v>
      </c>
      <c r="J467" s="97">
        <v>30</v>
      </c>
      <c r="K467" s="96"/>
      <c r="L467" s="100">
        <f t="shared" si="73"/>
        <v>0.17</v>
      </c>
      <c r="M467" s="100">
        <f t="shared" si="74"/>
        <v>0.14</v>
      </c>
      <c r="N467" s="96" t="s">
        <v>1052</v>
      </c>
      <c r="O467" s="101"/>
    </row>
    <row r="468" s="6" customFormat="1" ht="30" customHeight="1" spans="1:15">
      <c r="A468" s="96">
        <v>34</v>
      </c>
      <c r="B468" s="96" t="s">
        <v>336</v>
      </c>
      <c r="C468" s="97" t="s">
        <v>1528</v>
      </c>
      <c r="D468" s="96"/>
      <c r="E468" s="97">
        <v>563.3</v>
      </c>
      <c r="F468" s="96"/>
      <c r="G468" s="97">
        <v>563.4</v>
      </c>
      <c r="H468" s="96" t="s">
        <v>1047</v>
      </c>
      <c r="I468" s="97">
        <v>0.1</v>
      </c>
      <c r="J468" s="97">
        <v>30</v>
      </c>
      <c r="K468" s="96"/>
      <c r="L468" s="100">
        <f t="shared" si="73"/>
        <v>0.17</v>
      </c>
      <c r="M468" s="100">
        <f t="shared" si="74"/>
        <v>0.14</v>
      </c>
      <c r="N468" s="96" t="s">
        <v>1052</v>
      </c>
      <c r="O468" s="101"/>
    </row>
    <row r="469" s="6" customFormat="1" ht="30" customHeight="1" spans="1:15">
      <c r="A469" s="96">
        <v>35</v>
      </c>
      <c r="B469" s="96" t="s">
        <v>336</v>
      </c>
      <c r="C469" s="102" t="s">
        <v>396</v>
      </c>
      <c r="D469" s="103"/>
      <c r="E469" s="102">
        <v>2090.8</v>
      </c>
      <c r="F469" s="102"/>
      <c r="G469" s="102">
        <v>2090.9</v>
      </c>
      <c r="H469" s="96" t="s">
        <v>1047</v>
      </c>
      <c r="I469" s="97">
        <v>0.1</v>
      </c>
      <c r="J469" s="97">
        <v>30</v>
      </c>
      <c r="K469" s="96"/>
      <c r="L469" s="100">
        <f t="shared" si="73"/>
        <v>0.17</v>
      </c>
      <c r="M469" s="100">
        <f t="shared" si="74"/>
        <v>0.14</v>
      </c>
      <c r="N469" s="96" t="s">
        <v>1052</v>
      </c>
      <c r="O469" s="16"/>
    </row>
    <row r="470" s="6" customFormat="1" ht="30" customHeight="1" spans="1:15">
      <c r="A470" s="96">
        <v>36</v>
      </c>
      <c r="B470" s="96" t="s">
        <v>336</v>
      </c>
      <c r="C470" s="102" t="s">
        <v>396</v>
      </c>
      <c r="D470" s="103"/>
      <c r="E470" s="102">
        <v>2090.95</v>
      </c>
      <c r="F470" s="102"/>
      <c r="G470" s="102">
        <v>2091.05</v>
      </c>
      <c r="H470" s="96" t="s">
        <v>1047</v>
      </c>
      <c r="I470" s="97">
        <v>0.1</v>
      </c>
      <c r="J470" s="97">
        <v>30</v>
      </c>
      <c r="K470" s="96"/>
      <c r="L470" s="100">
        <f t="shared" si="73"/>
        <v>0.17</v>
      </c>
      <c r="M470" s="100">
        <f t="shared" si="74"/>
        <v>0.14</v>
      </c>
      <c r="N470" s="96" t="s">
        <v>1052</v>
      </c>
      <c r="O470" s="16"/>
    </row>
    <row r="471" s="6" customFormat="1" ht="30" customHeight="1" spans="1:15">
      <c r="A471" s="96">
        <v>37</v>
      </c>
      <c r="B471" s="96" t="s">
        <v>336</v>
      </c>
      <c r="C471" s="102" t="s">
        <v>396</v>
      </c>
      <c r="D471" s="103"/>
      <c r="E471" s="102">
        <v>2093.3</v>
      </c>
      <c r="F471" s="102"/>
      <c r="G471" s="102">
        <v>2093.4</v>
      </c>
      <c r="H471" s="96" t="s">
        <v>1047</v>
      </c>
      <c r="I471" s="97">
        <v>0.1</v>
      </c>
      <c r="J471" s="97">
        <v>30</v>
      </c>
      <c r="K471" s="96"/>
      <c r="L471" s="100">
        <f t="shared" si="73"/>
        <v>0.17</v>
      </c>
      <c r="M471" s="100">
        <f t="shared" si="74"/>
        <v>0.14</v>
      </c>
      <c r="N471" s="96" t="s">
        <v>1052</v>
      </c>
      <c r="O471" s="16"/>
    </row>
    <row r="472" s="6" customFormat="1" ht="30" customHeight="1" spans="1:15">
      <c r="A472" s="96">
        <v>38</v>
      </c>
      <c r="B472" s="96" t="s">
        <v>336</v>
      </c>
      <c r="C472" s="102" t="s">
        <v>396</v>
      </c>
      <c r="D472" s="103"/>
      <c r="E472" s="102">
        <v>2093.4</v>
      </c>
      <c r="F472" s="102"/>
      <c r="G472" s="102">
        <v>2093.5</v>
      </c>
      <c r="H472" s="96" t="s">
        <v>1047</v>
      </c>
      <c r="I472" s="97">
        <v>0.1</v>
      </c>
      <c r="J472" s="97">
        <v>30</v>
      </c>
      <c r="K472" s="96"/>
      <c r="L472" s="100">
        <f t="shared" si="73"/>
        <v>0.17</v>
      </c>
      <c r="M472" s="100">
        <f t="shared" si="74"/>
        <v>0.14</v>
      </c>
      <c r="N472" s="96" t="s">
        <v>1052</v>
      </c>
      <c r="O472" s="16"/>
    </row>
    <row r="473" s="6" customFormat="1" ht="30" customHeight="1" spans="1:15">
      <c r="A473" s="96">
        <v>39</v>
      </c>
      <c r="B473" s="96" t="s">
        <v>336</v>
      </c>
      <c r="C473" s="102" t="s">
        <v>396</v>
      </c>
      <c r="D473" s="103"/>
      <c r="E473" s="102">
        <v>2093.7</v>
      </c>
      <c r="F473" s="102"/>
      <c r="G473" s="102">
        <v>2093.8</v>
      </c>
      <c r="H473" s="96" t="s">
        <v>1047</v>
      </c>
      <c r="I473" s="97">
        <v>0.1</v>
      </c>
      <c r="J473" s="97">
        <v>30</v>
      </c>
      <c r="K473" s="96"/>
      <c r="L473" s="100">
        <f t="shared" si="73"/>
        <v>0.17</v>
      </c>
      <c r="M473" s="100">
        <f t="shared" si="74"/>
        <v>0.14</v>
      </c>
      <c r="N473" s="96" t="s">
        <v>1052</v>
      </c>
      <c r="O473" s="16"/>
    </row>
    <row r="474" s="6" customFormat="1" ht="30" customHeight="1" spans="1:15">
      <c r="A474" s="96">
        <v>40</v>
      </c>
      <c r="B474" s="96" t="s">
        <v>336</v>
      </c>
      <c r="C474" s="102" t="s">
        <v>396</v>
      </c>
      <c r="D474" s="103"/>
      <c r="E474" s="102">
        <v>2094.3</v>
      </c>
      <c r="F474" s="102"/>
      <c r="G474" s="102">
        <v>2094.4</v>
      </c>
      <c r="H474" s="96" t="s">
        <v>1047</v>
      </c>
      <c r="I474" s="97">
        <v>0.1</v>
      </c>
      <c r="J474" s="97">
        <v>30</v>
      </c>
      <c r="K474" s="96"/>
      <c r="L474" s="100">
        <f t="shared" si="73"/>
        <v>0.17</v>
      </c>
      <c r="M474" s="100">
        <f t="shared" si="74"/>
        <v>0.14</v>
      </c>
      <c r="N474" s="96" t="s">
        <v>1052</v>
      </c>
      <c r="O474" s="16"/>
    </row>
    <row r="475" s="6" customFormat="1" ht="30" customHeight="1" spans="1:15">
      <c r="A475" s="96">
        <v>41</v>
      </c>
      <c r="B475" s="96" t="s">
        <v>336</v>
      </c>
      <c r="C475" s="102" t="s">
        <v>396</v>
      </c>
      <c r="D475" s="103"/>
      <c r="E475" s="102">
        <v>2094.65</v>
      </c>
      <c r="F475" s="102"/>
      <c r="G475" s="102">
        <v>2094.75</v>
      </c>
      <c r="H475" s="96" t="s">
        <v>1047</v>
      </c>
      <c r="I475" s="97">
        <v>0.1</v>
      </c>
      <c r="J475" s="97">
        <v>30</v>
      </c>
      <c r="K475" s="96"/>
      <c r="L475" s="100">
        <f t="shared" si="73"/>
        <v>0.17</v>
      </c>
      <c r="M475" s="100">
        <f t="shared" si="74"/>
        <v>0.14</v>
      </c>
      <c r="N475" s="96" t="s">
        <v>1052</v>
      </c>
      <c r="O475" s="16"/>
    </row>
    <row r="476" s="6" customFormat="1" ht="30" customHeight="1" spans="1:15">
      <c r="A476" s="96">
        <v>42</v>
      </c>
      <c r="B476" s="96" t="s">
        <v>336</v>
      </c>
      <c r="C476" s="102" t="s">
        <v>396</v>
      </c>
      <c r="D476" s="103"/>
      <c r="E476" s="102">
        <v>2096.85</v>
      </c>
      <c r="F476" s="102"/>
      <c r="G476" s="102">
        <v>2096.95</v>
      </c>
      <c r="H476" s="96" t="s">
        <v>1047</v>
      </c>
      <c r="I476" s="97">
        <v>0.1</v>
      </c>
      <c r="J476" s="97">
        <v>30</v>
      </c>
      <c r="K476" s="96"/>
      <c r="L476" s="100">
        <f t="shared" si="73"/>
        <v>0.17</v>
      </c>
      <c r="M476" s="100">
        <f t="shared" si="74"/>
        <v>0.14</v>
      </c>
      <c r="N476" s="96" t="s">
        <v>1052</v>
      </c>
      <c r="O476" s="16"/>
    </row>
    <row r="477" s="6" customFormat="1" ht="30" customHeight="1" spans="1:15">
      <c r="A477" s="96">
        <v>43</v>
      </c>
      <c r="B477" s="96" t="s">
        <v>336</v>
      </c>
      <c r="C477" s="102" t="s">
        <v>396</v>
      </c>
      <c r="D477" s="103"/>
      <c r="E477" s="102">
        <v>2103.05</v>
      </c>
      <c r="F477" s="102"/>
      <c r="G477" s="102">
        <v>2103.15</v>
      </c>
      <c r="H477" s="96" t="s">
        <v>1047</v>
      </c>
      <c r="I477" s="97">
        <v>0.1</v>
      </c>
      <c r="J477" s="97">
        <v>30</v>
      </c>
      <c r="K477" s="96"/>
      <c r="L477" s="100">
        <f t="shared" si="73"/>
        <v>0.17</v>
      </c>
      <c r="M477" s="100">
        <f t="shared" si="74"/>
        <v>0.14</v>
      </c>
      <c r="N477" s="96" t="s">
        <v>1052</v>
      </c>
      <c r="O477" s="16"/>
    </row>
    <row r="478" s="6" customFormat="1" ht="30" customHeight="1" spans="1:15">
      <c r="A478" s="96">
        <v>44</v>
      </c>
      <c r="B478" s="96" t="s">
        <v>336</v>
      </c>
      <c r="C478" s="102" t="s">
        <v>396</v>
      </c>
      <c r="D478" s="103"/>
      <c r="E478" s="102">
        <v>2103.4</v>
      </c>
      <c r="F478" s="102"/>
      <c r="G478" s="102">
        <v>2103.5</v>
      </c>
      <c r="H478" s="96" t="s">
        <v>1047</v>
      </c>
      <c r="I478" s="97">
        <v>0.1</v>
      </c>
      <c r="J478" s="97">
        <v>30</v>
      </c>
      <c r="K478" s="96"/>
      <c r="L478" s="100">
        <f t="shared" si="73"/>
        <v>0.17</v>
      </c>
      <c r="M478" s="100">
        <f t="shared" si="74"/>
        <v>0.14</v>
      </c>
      <c r="N478" s="96" t="s">
        <v>1052</v>
      </c>
      <c r="O478" s="16"/>
    </row>
    <row r="479" s="6" customFormat="1" ht="30" customHeight="1" spans="1:15">
      <c r="A479" s="96">
        <v>45</v>
      </c>
      <c r="B479" s="96" t="s">
        <v>336</v>
      </c>
      <c r="C479" s="102" t="s">
        <v>396</v>
      </c>
      <c r="D479" s="103"/>
      <c r="E479" s="102">
        <v>2105.7</v>
      </c>
      <c r="F479" s="102"/>
      <c r="G479" s="102">
        <v>2105.8</v>
      </c>
      <c r="H479" s="96" t="s">
        <v>1047</v>
      </c>
      <c r="I479" s="97">
        <v>0.1</v>
      </c>
      <c r="J479" s="97">
        <v>30</v>
      </c>
      <c r="K479" s="96"/>
      <c r="L479" s="100">
        <f t="shared" si="73"/>
        <v>0.17</v>
      </c>
      <c r="M479" s="100">
        <f t="shared" si="74"/>
        <v>0.14</v>
      </c>
      <c r="N479" s="96" t="s">
        <v>1052</v>
      </c>
      <c r="O479" s="16"/>
    </row>
    <row r="480" s="6" customFormat="1" ht="30" customHeight="1" spans="1:15">
      <c r="A480" s="96">
        <v>46</v>
      </c>
      <c r="B480" s="96" t="s">
        <v>336</v>
      </c>
      <c r="C480" s="102" t="s">
        <v>396</v>
      </c>
      <c r="D480" s="103"/>
      <c r="E480" s="102">
        <v>2108.9</v>
      </c>
      <c r="F480" s="102"/>
      <c r="G480" s="102">
        <v>2109</v>
      </c>
      <c r="H480" s="96" t="s">
        <v>1047</v>
      </c>
      <c r="I480" s="97">
        <v>0.1</v>
      </c>
      <c r="J480" s="97">
        <v>30</v>
      </c>
      <c r="K480" s="96"/>
      <c r="L480" s="100">
        <f t="shared" si="73"/>
        <v>0.17</v>
      </c>
      <c r="M480" s="100">
        <f t="shared" si="74"/>
        <v>0.14</v>
      </c>
      <c r="N480" s="96" t="s">
        <v>1052</v>
      </c>
      <c r="O480" s="16"/>
    </row>
    <row r="481" s="6" customFormat="1" ht="30" customHeight="1" spans="1:15">
      <c r="A481" s="96">
        <v>47</v>
      </c>
      <c r="B481" s="96" t="s">
        <v>336</v>
      </c>
      <c r="C481" s="102" t="s">
        <v>396</v>
      </c>
      <c r="D481" s="103"/>
      <c r="E481" s="102">
        <v>2109.95</v>
      </c>
      <c r="F481" s="102"/>
      <c r="G481" s="102">
        <v>2110.05</v>
      </c>
      <c r="H481" s="96" t="s">
        <v>1047</v>
      </c>
      <c r="I481" s="97">
        <v>0.1</v>
      </c>
      <c r="J481" s="97">
        <v>30</v>
      </c>
      <c r="K481" s="96"/>
      <c r="L481" s="100">
        <f t="shared" si="73"/>
        <v>0.17</v>
      </c>
      <c r="M481" s="100">
        <f t="shared" si="74"/>
        <v>0.14</v>
      </c>
      <c r="N481" s="96" t="s">
        <v>1052</v>
      </c>
      <c r="O481" s="16"/>
    </row>
    <row r="482" s="6" customFormat="1" ht="30" customHeight="1" spans="1:15">
      <c r="A482" s="96">
        <v>48</v>
      </c>
      <c r="B482" s="96" t="s">
        <v>336</v>
      </c>
      <c r="C482" s="102" t="s">
        <v>396</v>
      </c>
      <c r="D482" s="103"/>
      <c r="E482" s="102">
        <v>2110.15</v>
      </c>
      <c r="F482" s="102"/>
      <c r="G482" s="102">
        <v>2110.25</v>
      </c>
      <c r="H482" s="96" t="s">
        <v>1047</v>
      </c>
      <c r="I482" s="97">
        <v>0.1</v>
      </c>
      <c r="J482" s="97">
        <v>30</v>
      </c>
      <c r="K482" s="96"/>
      <c r="L482" s="100">
        <f t="shared" si="73"/>
        <v>0.17</v>
      </c>
      <c r="M482" s="100">
        <f t="shared" si="74"/>
        <v>0.14</v>
      </c>
      <c r="N482" s="96" t="s">
        <v>1052</v>
      </c>
      <c r="O482" s="16"/>
    </row>
    <row r="483" s="6" customFormat="1" ht="30" customHeight="1" spans="1:15">
      <c r="A483" s="96">
        <v>49</v>
      </c>
      <c r="B483" s="96" t="s">
        <v>336</v>
      </c>
      <c r="C483" s="102" t="s">
        <v>396</v>
      </c>
      <c r="D483" s="103"/>
      <c r="E483" s="102">
        <v>2110.6</v>
      </c>
      <c r="F483" s="102"/>
      <c r="G483" s="102">
        <v>2110.7</v>
      </c>
      <c r="H483" s="96" t="s">
        <v>1047</v>
      </c>
      <c r="I483" s="97">
        <v>0.1</v>
      </c>
      <c r="J483" s="97">
        <v>30</v>
      </c>
      <c r="K483" s="96"/>
      <c r="L483" s="100">
        <f t="shared" si="73"/>
        <v>0.17</v>
      </c>
      <c r="M483" s="100">
        <f t="shared" si="74"/>
        <v>0.14</v>
      </c>
      <c r="N483" s="96" t="s">
        <v>1052</v>
      </c>
      <c r="O483" s="16"/>
    </row>
    <row r="484" s="6" customFormat="1" ht="30" customHeight="1" spans="1:15">
      <c r="A484" s="96">
        <v>50</v>
      </c>
      <c r="B484" s="96" t="s">
        <v>336</v>
      </c>
      <c r="C484" s="102" t="s">
        <v>396</v>
      </c>
      <c r="D484" s="103"/>
      <c r="E484" s="102">
        <v>2111.3</v>
      </c>
      <c r="F484" s="102"/>
      <c r="G484" s="102">
        <v>2111.4</v>
      </c>
      <c r="H484" s="96" t="s">
        <v>1047</v>
      </c>
      <c r="I484" s="97">
        <v>0.1</v>
      </c>
      <c r="J484" s="97">
        <v>30</v>
      </c>
      <c r="K484" s="96"/>
      <c r="L484" s="100">
        <f t="shared" si="73"/>
        <v>0.17</v>
      </c>
      <c r="M484" s="100">
        <f t="shared" si="74"/>
        <v>0.14</v>
      </c>
      <c r="N484" s="96" t="s">
        <v>1052</v>
      </c>
      <c r="O484" s="16"/>
    </row>
    <row r="485" s="6" customFormat="1" ht="30" customHeight="1" spans="1:15">
      <c r="A485" s="96">
        <v>51</v>
      </c>
      <c r="B485" s="96" t="s">
        <v>336</v>
      </c>
      <c r="C485" s="102" t="s">
        <v>396</v>
      </c>
      <c r="D485" s="103"/>
      <c r="E485" s="102">
        <v>2112</v>
      </c>
      <c r="F485" s="102"/>
      <c r="G485" s="102">
        <v>2112.1</v>
      </c>
      <c r="H485" s="96" t="s">
        <v>1047</v>
      </c>
      <c r="I485" s="97">
        <v>0.1</v>
      </c>
      <c r="J485" s="97">
        <v>30</v>
      </c>
      <c r="K485" s="96"/>
      <c r="L485" s="100">
        <f t="shared" si="73"/>
        <v>0.17</v>
      </c>
      <c r="M485" s="100">
        <f t="shared" si="74"/>
        <v>0.14</v>
      </c>
      <c r="N485" s="96" t="s">
        <v>1052</v>
      </c>
      <c r="O485" s="16"/>
    </row>
    <row r="486" s="6" customFormat="1" ht="30" customHeight="1" spans="1:15">
      <c r="A486" s="96">
        <v>52</v>
      </c>
      <c r="B486" s="96" t="s">
        <v>336</v>
      </c>
      <c r="C486" s="102" t="s">
        <v>396</v>
      </c>
      <c r="D486" s="103"/>
      <c r="E486" s="102">
        <v>2112.8</v>
      </c>
      <c r="F486" s="102"/>
      <c r="G486" s="102">
        <v>2112.9</v>
      </c>
      <c r="H486" s="96" t="s">
        <v>1047</v>
      </c>
      <c r="I486" s="97">
        <v>0.1</v>
      </c>
      <c r="J486" s="97">
        <v>30</v>
      </c>
      <c r="K486" s="96"/>
      <c r="L486" s="100">
        <f t="shared" si="73"/>
        <v>0.17</v>
      </c>
      <c r="M486" s="100">
        <f t="shared" si="74"/>
        <v>0.14</v>
      </c>
      <c r="N486" s="96" t="s">
        <v>1052</v>
      </c>
      <c r="O486" s="16"/>
    </row>
    <row r="487" s="6" customFormat="1" ht="30" customHeight="1" spans="1:15">
      <c r="A487" s="96">
        <v>53</v>
      </c>
      <c r="B487" s="96" t="s">
        <v>336</v>
      </c>
      <c r="C487" s="102" t="s">
        <v>396</v>
      </c>
      <c r="D487" s="103"/>
      <c r="E487" s="102">
        <v>2113.3</v>
      </c>
      <c r="F487" s="102"/>
      <c r="G487" s="102">
        <v>2113.4</v>
      </c>
      <c r="H487" s="96" t="s">
        <v>1047</v>
      </c>
      <c r="I487" s="97">
        <v>0.1</v>
      </c>
      <c r="J487" s="97">
        <v>30</v>
      </c>
      <c r="K487" s="96"/>
      <c r="L487" s="100">
        <f t="shared" si="73"/>
        <v>0.17</v>
      </c>
      <c r="M487" s="100">
        <f t="shared" si="74"/>
        <v>0.14</v>
      </c>
      <c r="N487" s="96" t="s">
        <v>1052</v>
      </c>
      <c r="O487" s="16"/>
    </row>
    <row r="488" s="6" customFormat="1" ht="30" customHeight="1" spans="1:15">
      <c r="A488" s="96">
        <v>54</v>
      </c>
      <c r="B488" s="96" t="s">
        <v>336</v>
      </c>
      <c r="C488" s="102" t="s">
        <v>396</v>
      </c>
      <c r="D488" s="103"/>
      <c r="E488" s="102">
        <v>2114.35</v>
      </c>
      <c r="F488" s="102"/>
      <c r="G488" s="102">
        <v>2114.45</v>
      </c>
      <c r="H488" s="96" t="s">
        <v>1047</v>
      </c>
      <c r="I488" s="97">
        <v>0.1</v>
      </c>
      <c r="J488" s="97">
        <v>30</v>
      </c>
      <c r="K488" s="96"/>
      <c r="L488" s="100">
        <f t="shared" si="73"/>
        <v>0.17</v>
      </c>
      <c r="M488" s="100">
        <f t="shared" si="74"/>
        <v>0.14</v>
      </c>
      <c r="N488" s="96" t="s">
        <v>1052</v>
      </c>
      <c r="O488" s="16"/>
    </row>
    <row r="489" s="6" customFormat="1" ht="30" customHeight="1" spans="1:15">
      <c r="A489" s="96">
        <v>55</v>
      </c>
      <c r="B489" s="96" t="s">
        <v>336</v>
      </c>
      <c r="C489" s="102" t="s">
        <v>396</v>
      </c>
      <c r="D489" s="103"/>
      <c r="E489" s="102">
        <v>2116.45</v>
      </c>
      <c r="F489" s="102"/>
      <c r="G489" s="102">
        <v>2116.55</v>
      </c>
      <c r="H489" s="96" t="s">
        <v>1047</v>
      </c>
      <c r="I489" s="97">
        <v>0.1</v>
      </c>
      <c r="J489" s="97">
        <v>30</v>
      </c>
      <c r="K489" s="96"/>
      <c r="L489" s="100">
        <f t="shared" si="73"/>
        <v>0.17</v>
      </c>
      <c r="M489" s="100">
        <f t="shared" si="74"/>
        <v>0.14</v>
      </c>
      <c r="N489" s="96" t="s">
        <v>1052</v>
      </c>
      <c r="O489" s="16"/>
    </row>
    <row r="490" s="6" customFormat="1" ht="30" customHeight="1" spans="1:15">
      <c r="A490" s="96">
        <v>56</v>
      </c>
      <c r="B490" s="96" t="s">
        <v>336</v>
      </c>
      <c r="C490" s="102" t="s">
        <v>396</v>
      </c>
      <c r="D490" s="103"/>
      <c r="E490" s="102">
        <v>2138.7</v>
      </c>
      <c r="F490" s="102"/>
      <c r="G490" s="102">
        <v>2138.8</v>
      </c>
      <c r="H490" s="96" t="s">
        <v>1047</v>
      </c>
      <c r="I490" s="97">
        <v>0.1</v>
      </c>
      <c r="J490" s="97">
        <v>30</v>
      </c>
      <c r="K490" s="96"/>
      <c r="L490" s="100">
        <f t="shared" si="73"/>
        <v>0.17</v>
      </c>
      <c r="M490" s="100">
        <f t="shared" si="74"/>
        <v>0.14</v>
      </c>
      <c r="N490" s="96" t="s">
        <v>1052</v>
      </c>
      <c r="O490" s="16"/>
    </row>
    <row r="491" s="6" customFormat="1" ht="30" customHeight="1" spans="1:15">
      <c r="A491" s="96">
        <v>57</v>
      </c>
      <c r="B491" s="96" t="s">
        <v>336</v>
      </c>
      <c r="C491" s="102" t="s">
        <v>396</v>
      </c>
      <c r="D491" s="103"/>
      <c r="E491" s="102">
        <v>2139.1</v>
      </c>
      <c r="F491" s="102"/>
      <c r="G491" s="102">
        <v>2139.2</v>
      </c>
      <c r="H491" s="96" t="s">
        <v>1047</v>
      </c>
      <c r="I491" s="97">
        <v>0.1</v>
      </c>
      <c r="J491" s="97">
        <v>30</v>
      </c>
      <c r="K491" s="96"/>
      <c r="L491" s="100">
        <f t="shared" si="73"/>
        <v>0.17</v>
      </c>
      <c r="M491" s="100">
        <f t="shared" si="74"/>
        <v>0.14</v>
      </c>
      <c r="N491" s="96" t="s">
        <v>1052</v>
      </c>
      <c r="O491" s="16"/>
    </row>
    <row r="492" s="6" customFormat="1" ht="30" customHeight="1" spans="1:15">
      <c r="A492" s="96">
        <v>58</v>
      </c>
      <c r="B492" s="96" t="s">
        <v>336</v>
      </c>
      <c r="C492" s="102" t="s">
        <v>396</v>
      </c>
      <c r="D492" s="103"/>
      <c r="E492" s="102">
        <v>2140.8</v>
      </c>
      <c r="F492" s="102"/>
      <c r="G492" s="102">
        <v>2140.9</v>
      </c>
      <c r="H492" s="96" t="s">
        <v>1047</v>
      </c>
      <c r="I492" s="97">
        <v>0.1</v>
      </c>
      <c r="J492" s="97">
        <v>30</v>
      </c>
      <c r="K492" s="96"/>
      <c r="L492" s="100">
        <f t="shared" si="73"/>
        <v>0.17</v>
      </c>
      <c r="M492" s="100">
        <f t="shared" si="74"/>
        <v>0.14</v>
      </c>
      <c r="N492" s="96" t="s">
        <v>1052</v>
      </c>
      <c r="O492" s="16"/>
    </row>
    <row r="493" s="6" customFormat="1" ht="30" customHeight="1" spans="1:15">
      <c r="A493" s="96">
        <v>59</v>
      </c>
      <c r="B493" s="96" t="s">
        <v>336</v>
      </c>
      <c r="C493" s="102" t="s">
        <v>396</v>
      </c>
      <c r="D493" s="103"/>
      <c r="E493" s="102">
        <v>2141.8</v>
      </c>
      <c r="F493" s="102"/>
      <c r="G493" s="102">
        <v>2141.9</v>
      </c>
      <c r="H493" s="96" t="s">
        <v>1047</v>
      </c>
      <c r="I493" s="97">
        <v>0.1</v>
      </c>
      <c r="J493" s="97">
        <v>30</v>
      </c>
      <c r="K493" s="96"/>
      <c r="L493" s="100">
        <f t="shared" si="73"/>
        <v>0.17</v>
      </c>
      <c r="M493" s="100">
        <f t="shared" si="74"/>
        <v>0.14</v>
      </c>
      <c r="N493" s="96" t="s">
        <v>1052</v>
      </c>
      <c r="O493" s="16"/>
    </row>
    <row r="494" s="6" customFormat="1" ht="30" customHeight="1" spans="1:15">
      <c r="A494" s="96">
        <v>60</v>
      </c>
      <c r="B494" s="96" t="s">
        <v>336</v>
      </c>
      <c r="C494" s="102" t="s">
        <v>1527</v>
      </c>
      <c r="D494" s="103"/>
      <c r="E494" s="102">
        <v>8.61</v>
      </c>
      <c r="F494" s="102"/>
      <c r="G494" s="102">
        <v>8.71</v>
      </c>
      <c r="H494" s="96" t="s">
        <v>1047</v>
      </c>
      <c r="I494" s="97">
        <v>0.1</v>
      </c>
      <c r="J494" s="97">
        <v>30</v>
      </c>
      <c r="K494" s="96"/>
      <c r="L494" s="100">
        <f t="shared" si="73"/>
        <v>0.17</v>
      </c>
      <c r="M494" s="100">
        <f t="shared" si="74"/>
        <v>0.14</v>
      </c>
      <c r="N494" s="96" t="s">
        <v>1052</v>
      </c>
      <c r="O494" s="16"/>
    </row>
    <row r="495" s="6" customFormat="1" ht="30" customHeight="1" spans="1:15">
      <c r="A495" s="96">
        <v>61</v>
      </c>
      <c r="B495" s="96" t="s">
        <v>336</v>
      </c>
      <c r="C495" s="102" t="s">
        <v>1527</v>
      </c>
      <c r="D495" s="103"/>
      <c r="E495" s="102">
        <v>9.1</v>
      </c>
      <c r="F495" s="102"/>
      <c r="G495" s="102">
        <v>9.3</v>
      </c>
      <c r="H495" s="96" t="s">
        <v>1047</v>
      </c>
      <c r="I495" s="97">
        <v>0.1</v>
      </c>
      <c r="J495" s="97">
        <v>30</v>
      </c>
      <c r="K495" s="96"/>
      <c r="L495" s="100">
        <f t="shared" si="73"/>
        <v>0.17</v>
      </c>
      <c r="M495" s="100">
        <f t="shared" si="74"/>
        <v>0.14</v>
      </c>
      <c r="N495" s="96" t="s">
        <v>1052</v>
      </c>
      <c r="O495" s="16"/>
    </row>
    <row r="496" s="6" customFormat="1" ht="30" customHeight="1" spans="1:15">
      <c r="A496" s="96">
        <v>62</v>
      </c>
      <c r="B496" s="96" t="s">
        <v>336</v>
      </c>
      <c r="C496" s="102" t="s">
        <v>1527</v>
      </c>
      <c r="D496" s="103"/>
      <c r="E496" s="102">
        <v>9.44</v>
      </c>
      <c r="F496" s="102"/>
      <c r="G496" s="102">
        <v>9.55</v>
      </c>
      <c r="H496" s="96" t="s">
        <v>1047</v>
      </c>
      <c r="I496" s="97">
        <v>0.1</v>
      </c>
      <c r="J496" s="97">
        <v>30</v>
      </c>
      <c r="K496" s="96"/>
      <c r="L496" s="100">
        <f t="shared" si="73"/>
        <v>0.17</v>
      </c>
      <c r="M496" s="100">
        <f t="shared" si="74"/>
        <v>0.14</v>
      </c>
      <c r="N496" s="96" t="s">
        <v>1052</v>
      </c>
      <c r="O496" s="16"/>
    </row>
    <row r="497" s="6" customFormat="1" ht="30" customHeight="1" spans="1:15">
      <c r="A497" s="96">
        <v>63</v>
      </c>
      <c r="B497" s="96" t="s">
        <v>336</v>
      </c>
      <c r="C497" s="102" t="s">
        <v>1527</v>
      </c>
      <c r="D497" s="103"/>
      <c r="E497" s="102">
        <v>10.08</v>
      </c>
      <c r="F497" s="102"/>
      <c r="G497" s="102">
        <v>10.18</v>
      </c>
      <c r="H497" s="96" t="s">
        <v>1047</v>
      </c>
      <c r="I497" s="97">
        <v>0.1</v>
      </c>
      <c r="J497" s="97">
        <v>30</v>
      </c>
      <c r="K497" s="96"/>
      <c r="L497" s="100">
        <f t="shared" si="73"/>
        <v>0.17</v>
      </c>
      <c r="M497" s="100">
        <f t="shared" si="74"/>
        <v>0.14</v>
      </c>
      <c r="N497" s="96" t="s">
        <v>1052</v>
      </c>
      <c r="O497" s="16"/>
    </row>
    <row r="498" s="6" customFormat="1" ht="30" customHeight="1" spans="1:15">
      <c r="A498" s="96">
        <v>64</v>
      </c>
      <c r="B498" s="96" t="s">
        <v>336</v>
      </c>
      <c r="C498" s="102" t="s">
        <v>1527</v>
      </c>
      <c r="D498" s="103"/>
      <c r="E498" s="102">
        <v>10.3</v>
      </c>
      <c r="F498" s="102"/>
      <c r="G498" s="102">
        <v>10.4</v>
      </c>
      <c r="H498" s="96" t="s">
        <v>1047</v>
      </c>
      <c r="I498" s="97">
        <v>0.1</v>
      </c>
      <c r="J498" s="97">
        <v>30</v>
      </c>
      <c r="K498" s="96"/>
      <c r="L498" s="100">
        <f t="shared" si="73"/>
        <v>0.17</v>
      </c>
      <c r="M498" s="100">
        <f t="shared" si="74"/>
        <v>0.14</v>
      </c>
      <c r="N498" s="96" t="s">
        <v>1052</v>
      </c>
      <c r="O498" s="16"/>
    </row>
    <row r="499" s="6" customFormat="1" ht="30" customHeight="1" spans="1:15">
      <c r="A499" s="96">
        <v>65</v>
      </c>
      <c r="B499" s="96" t="s">
        <v>336</v>
      </c>
      <c r="C499" s="102" t="s">
        <v>1527</v>
      </c>
      <c r="D499" s="103"/>
      <c r="E499" s="102">
        <v>12.25</v>
      </c>
      <c r="F499" s="102"/>
      <c r="G499" s="102">
        <v>12.35</v>
      </c>
      <c r="H499" s="96" t="s">
        <v>1047</v>
      </c>
      <c r="I499" s="97">
        <v>0.1</v>
      </c>
      <c r="J499" s="97">
        <v>30</v>
      </c>
      <c r="K499" s="96"/>
      <c r="L499" s="100">
        <f t="shared" ref="L499:L505" si="75">M499*1.2</f>
        <v>0.17</v>
      </c>
      <c r="M499" s="100">
        <f t="shared" ref="M499:M505" si="76">J499*45/10000</f>
        <v>0.14</v>
      </c>
      <c r="N499" s="96" t="s">
        <v>1052</v>
      </c>
      <c r="O499" s="16"/>
    </row>
    <row r="500" s="6" customFormat="1" ht="30" customHeight="1" spans="1:15">
      <c r="A500" s="96">
        <v>66</v>
      </c>
      <c r="B500" s="96" t="s">
        <v>336</v>
      </c>
      <c r="C500" s="102" t="s">
        <v>1527</v>
      </c>
      <c r="D500" s="103"/>
      <c r="E500" s="102">
        <v>12.35</v>
      </c>
      <c r="F500" s="102"/>
      <c r="G500" s="102">
        <v>12.45</v>
      </c>
      <c r="H500" s="96" t="s">
        <v>1047</v>
      </c>
      <c r="I500" s="97">
        <v>0.1</v>
      </c>
      <c r="J500" s="97">
        <v>30</v>
      </c>
      <c r="K500" s="96"/>
      <c r="L500" s="100">
        <f t="shared" si="75"/>
        <v>0.17</v>
      </c>
      <c r="M500" s="100">
        <f t="shared" si="76"/>
        <v>0.14</v>
      </c>
      <c r="N500" s="96" t="s">
        <v>1052</v>
      </c>
      <c r="O500" s="16"/>
    </row>
    <row r="501" s="6" customFormat="1" ht="30" customHeight="1" spans="1:15">
      <c r="A501" s="96">
        <v>67</v>
      </c>
      <c r="B501" s="96" t="s">
        <v>336</v>
      </c>
      <c r="C501" s="102" t="s">
        <v>1527</v>
      </c>
      <c r="D501" s="103"/>
      <c r="E501" s="102">
        <v>14.18</v>
      </c>
      <c r="F501" s="102"/>
      <c r="G501" s="102">
        <v>14.28</v>
      </c>
      <c r="H501" s="96" t="s">
        <v>1047</v>
      </c>
      <c r="I501" s="97">
        <v>0.1</v>
      </c>
      <c r="J501" s="97">
        <v>30</v>
      </c>
      <c r="K501" s="96"/>
      <c r="L501" s="100">
        <f t="shared" si="75"/>
        <v>0.17</v>
      </c>
      <c r="M501" s="100">
        <f t="shared" si="76"/>
        <v>0.14</v>
      </c>
      <c r="N501" s="96" t="s">
        <v>1052</v>
      </c>
      <c r="O501" s="16"/>
    </row>
    <row r="502" s="6" customFormat="1" ht="30" customHeight="1" spans="1:15">
      <c r="A502" s="96">
        <v>68</v>
      </c>
      <c r="B502" s="96" t="s">
        <v>336</v>
      </c>
      <c r="C502" s="102" t="s">
        <v>1527</v>
      </c>
      <c r="D502" s="103"/>
      <c r="E502" s="102">
        <v>14.06</v>
      </c>
      <c r="F502" s="102"/>
      <c r="G502" s="102">
        <v>14.16</v>
      </c>
      <c r="H502" s="96" t="s">
        <v>1047</v>
      </c>
      <c r="I502" s="97">
        <v>0.1</v>
      </c>
      <c r="J502" s="97">
        <v>30</v>
      </c>
      <c r="K502" s="96"/>
      <c r="L502" s="100">
        <f t="shared" si="75"/>
        <v>0.17</v>
      </c>
      <c r="M502" s="100">
        <f t="shared" si="76"/>
        <v>0.14</v>
      </c>
      <c r="N502" s="96" t="s">
        <v>1052</v>
      </c>
      <c r="O502" s="16"/>
    </row>
    <row r="503" s="6" customFormat="1" ht="30" customHeight="1" spans="1:15">
      <c r="A503" s="96">
        <v>69</v>
      </c>
      <c r="B503" s="96" t="s">
        <v>336</v>
      </c>
      <c r="C503" s="102" t="s">
        <v>1527</v>
      </c>
      <c r="D503" s="103"/>
      <c r="E503" s="102">
        <v>14.58</v>
      </c>
      <c r="F503" s="102"/>
      <c r="G503" s="102">
        <v>14.68</v>
      </c>
      <c r="H503" s="96" t="s">
        <v>1047</v>
      </c>
      <c r="I503" s="97">
        <v>0.1</v>
      </c>
      <c r="J503" s="97">
        <v>30</v>
      </c>
      <c r="K503" s="96"/>
      <c r="L503" s="100">
        <f t="shared" si="75"/>
        <v>0.17</v>
      </c>
      <c r="M503" s="100">
        <f t="shared" si="76"/>
        <v>0.14</v>
      </c>
      <c r="N503" s="96" t="s">
        <v>1052</v>
      </c>
      <c r="O503" s="16"/>
    </row>
    <row r="504" s="6" customFormat="1" ht="30" customHeight="1" spans="1:15">
      <c r="A504" s="96">
        <v>70</v>
      </c>
      <c r="B504" s="96" t="s">
        <v>336</v>
      </c>
      <c r="C504" s="102" t="s">
        <v>1527</v>
      </c>
      <c r="D504" s="103"/>
      <c r="E504" s="102">
        <v>15</v>
      </c>
      <c r="F504" s="102"/>
      <c r="G504" s="102">
        <v>15.1</v>
      </c>
      <c r="H504" s="96" t="s">
        <v>1047</v>
      </c>
      <c r="I504" s="97">
        <v>0.1</v>
      </c>
      <c r="J504" s="97">
        <v>30</v>
      </c>
      <c r="K504" s="96"/>
      <c r="L504" s="100">
        <f t="shared" si="75"/>
        <v>0.17</v>
      </c>
      <c r="M504" s="100">
        <f t="shared" si="76"/>
        <v>0.14</v>
      </c>
      <c r="N504" s="96" t="s">
        <v>1052</v>
      </c>
      <c r="O504" s="16"/>
    </row>
    <row r="505" s="6" customFormat="1" ht="30" customHeight="1" spans="1:15">
      <c r="A505" s="96">
        <v>71</v>
      </c>
      <c r="B505" s="104" t="s">
        <v>336</v>
      </c>
      <c r="C505" s="105" t="s">
        <v>1527</v>
      </c>
      <c r="D505" s="106"/>
      <c r="E505" s="105">
        <v>16.2</v>
      </c>
      <c r="F505" s="105"/>
      <c r="G505" s="105">
        <v>16.3</v>
      </c>
      <c r="H505" s="96" t="s">
        <v>1047</v>
      </c>
      <c r="I505" s="97">
        <v>0.1</v>
      </c>
      <c r="J505" s="97">
        <v>30</v>
      </c>
      <c r="K505" s="96"/>
      <c r="L505" s="100">
        <f t="shared" si="75"/>
        <v>0.17</v>
      </c>
      <c r="M505" s="100">
        <f t="shared" si="76"/>
        <v>0.14</v>
      </c>
      <c r="N505" s="96" t="s">
        <v>1052</v>
      </c>
      <c r="O505" s="16"/>
    </row>
    <row r="506" s="5" customFormat="1" ht="30" customHeight="1" spans="1:15">
      <c r="A506" s="107" t="s">
        <v>200</v>
      </c>
      <c r="B506" s="107"/>
      <c r="C506" s="107"/>
      <c r="D506" s="107"/>
      <c r="E506" s="107"/>
      <c r="F506" s="107"/>
      <c r="G506" s="107"/>
      <c r="H506" s="107"/>
      <c r="I506" s="109">
        <f t="shared" ref="I506:M506" si="77">SUM(I507:I522)</f>
        <v>7.53000000000006</v>
      </c>
      <c r="J506" s="109">
        <f t="shared" si="77"/>
        <v>2259.00000000002</v>
      </c>
      <c r="K506" s="109">
        <f t="shared" si="77"/>
        <v>0</v>
      </c>
      <c r="L506" s="109">
        <f t="shared" si="77"/>
        <v>12.2</v>
      </c>
      <c r="M506" s="109">
        <f t="shared" si="77"/>
        <v>10.17</v>
      </c>
      <c r="N506" s="107"/>
      <c r="O506" s="15"/>
    </row>
    <row r="507" s="6" customFormat="1" ht="37" customHeight="1" spans="1:15">
      <c r="A507" s="22">
        <v>1</v>
      </c>
      <c r="B507" s="16" t="s">
        <v>200</v>
      </c>
      <c r="C507" s="82" t="s">
        <v>63</v>
      </c>
      <c r="D507" s="16" t="s">
        <v>1529</v>
      </c>
      <c r="E507" s="108">
        <v>443.6</v>
      </c>
      <c r="F507" s="16" t="s">
        <v>1529</v>
      </c>
      <c r="G507" s="108">
        <v>443.7</v>
      </c>
      <c r="H507" s="16" t="s">
        <v>1047</v>
      </c>
      <c r="I507" s="40">
        <v>0.0999999999999659</v>
      </c>
      <c r="J507" s="40">
        <f t="shared" ref="J507:J522" si="78">I507*1000/100*30</f>
        <v>29.9999999999898</v>
      </c>
      <c r="K507" s="40"/>
      <c r="L507" s="19">
        <f t="shared" ref="L507:L522" si="79">M507*1.2</f>
        <v>0.16</v>
      </c>
      <c r="M507" s="19">
        <f t="shared" ref="M507:M522" si="80">J507*45/10000</f>
        <v>0.13</v>
      </c>
      <c r="N507" s="16" t="s">
        <v>1052</v>
      </c>
      <c r="O507" s="16"/>
    </row>
    <row r="508" s="6" customFormat="1" ht="37" customHeight="1" spans="1:15">
      <c r="A508" s="22">
        <v>2</v>
      </c>
      <c r="B508" s="16" t="s">
        <v>200</v>
      </c>
      <c r="C508" s="82" t="s">
        <v>63</v>
      </c>
      <c r="D508" s="16" t="s">
        <v>1529</v>
      </c>
      <c r="E508" s="108">
        <v>443.5</v>
      </c>
      <c r="F508" s="16" t="s">
        <v>1529</v>
      </c>
      <c r="G508" s="108">
        <v>443.6</v>
      </c>
      <c r="H508" s="16" t="s">
        <v>1047</v>
      </c>
      <c r="I508" s="40">
        <v>0.100000000000023</v>
      </c>
      <c r="J508" s="40">
        <f t="shared" si="78"/>
        <v>30.0000000000069</v>
      </c>
      <c r="K508" s="40"/>
      <c r="L508" s="19">
        <f t="shared" si="79"/>
        <v>0.17</v>
      </c>
      <c r="M508" s="19">
        <f t="shared" si="80"/>
        <v>0.14</v>
      </c>
      <c r="N508" s="16" t="s">
        <v>1052</v>
      </c>
      <c r="O508" s="16"/>
    </row>
    <row r="509" s="6" customFormat="1" ht="37" customHeight="1" spans="1:15">
      <c r="A509" s="22">
        <v>3</v>
      </c>
      <c r="B509" s="16" t="s">
        <v>200</v>
      </c>
      <c r="C509" s="40" t="s">
        <v>98</v>
      </c>
      <c r="D509" s="16" t="s">
        <v>1530</v>
      </c>
      <c r="E509" s="108">
        <v>875.9</v>
      </c>
      <c r="F509" s="16" t="s">
        <v>1530</v>
      </c>
      <c r="G509" s="108">
        <v>876.1</v>
      </c>
      <c r="H509" s="16" t="s">
        <v>1047</v>
      </c>
      <c r="I509" s="40">
        <v>0.200000000000045</v>
      </c>
      <c r="J509" s="40">
        <f t="shared" si="78"/>
        <v>60.0000000000135</v>
      </c>
      <c r="K509" s="19"/>
      <c r="L509" s="19">
        <f t="shared" si="79"/>
        <v>0.32</v>
      </c>
      <c r="M509" s="19">
        <f t="shared" si="80"/>
        <v>0.27</v>
      </c>
      <c r="N509" s="16" t="s">
        <v>1052</v>
      </c>
      <c r="O509" s="16"/>
    </row>
    <row r="510" s="6" customFormat="1" ht="37" customHeight="1" spans="1:15">
      <c r="A510" s="22">
        <v>4</v>
      </c>
      <c r="B510" s="16" t="s">
        <v>200</v>
      </c>
      <c r="C510" s="40" t="s">
        <v>98</v>
      </c>
      <c r="D510" s="16" t="s">
        <v>1530</v>
      </c>
      <c r="E510" s="108">
        <v>875.9</v>
      </c>
      <c r="F510" s="16" t="s">
        <v>1530</v>
      </c>
      <c r="G510" s="108">
        <v>876.1</v>
      </c>
      <c r="H510" s="16" t="s">
        <v>1047</v>
      </c>
      <c r="I510" s="40">
        <v>0.200000000000045</v>
      </c>
      <c r="J510" s="40">
        <f t="shared" si="78"/>
        <v>60.0000000000135</v>
      </c>
      <c r="K510" s="19"/>
      <c r="L510" s="19">
        <f t="shared" si="79"/>
        <v>0.32</v>
      </c>
      <c r="M510" s="19">
        <f t="shared" si="80"/>
        <v>0.27</v>
      </c>
      <c r="N510" s="16" t="s">
        <v>1052</v>
      </c>
      <c r="O510" s="16"/>
    </row>
    <row r="511" s="6" customFormat="1" ht="37" customHeight="1" spans="1:15">
      <c r="A511" s="22">
        <v>5</v>
      </c>
      <c r="B511" s="16" t="s">
        <v>200</v>
      </c>
      <c r="C511" s="40" t="s">
        <v>98</v>
      </c>
      <c r="D511" s="16" t="s">
        <v>1531</v>
      </c>
      <c r="E511" s="108">
        <v>894.25</v>
      </c>
      <c r="F511" s="16" t="s">
        <v>1531</v>
      </c>
      <c r="G511" s="108">
        <v>894.35</v>
      </c>
      <c r="H511" s="16" t="s">
        <v>1047</v>
      </c>
      <c r="I511" s="40">
        <v>0.100000000000023</v>
      </c>
      <c r="J511" s="40">
        <f t="shared" si="78"/>
        <v>30.0000000000069</v>
      </c>
      <c r="K511" s="19"/>
      <c r="L511" s="19">
        <f t="shared" si="79"/>
        <v>0.17</v>
      </c>
      <c r="M511" s="19">
        <f t="shared" si="80"/>
        <v>0.14</v>
      </c>
      <c r="N511" s="16" t="s">
        <v>1052</v>
      </c>
      <c r="O511" s="16"/>
    </row>
    <row r="512" s="6" customFormat="1" ht="37" customHeight="1" spans="1:15">
      <c r="A512" s="22">
        <v>6</v>
      </c>
      <c r="B512" s="16" t="s">
        <v>200</v>
      </c>
      <c r="C512" s="40" t="s">
        <v>98</v>
      </c>
      <c r="D512" s="16" t="s">
        <v>1531</v>
      </c>
      <c r="E512" s="108">
        <v>894.15</v>
      </c>
      <c r="F512" s="16" t="s">
        <v>1531</v>
      </c>
      <c r="G512" s="108">
        <v>894.25</v>
      </c>
      <c r="H512" s="16" t="s">
        <v>1047</v>
      </c>
      <c r="I512" s="40">
        <v>0.100000000000023</v>
      </c>
      <c r="J512" s="40">
        <f t="shared" si="78"/>
        <v>30.0000000000069</v>
      </c>
      <c r="K512" s="19"/>
      <c r="L512" s="19">
        <f t="shared" si="79"/>
        <v>0.17</v>
      </c>
      <c r="M512" s="19">
        <f t="shared" si="80"/>
        <v>0.14</v>
      </c>
      <c r="N512" s="16" t="s">
        <v>1052</v>
      </c>
      <c r="O512" s="16"/>
    </row>
    <row r="513" s="6" customFormat="1" ht="37" customHeight="1" spans="1:15">
      <c r="A513" s="22">
        <v>7</v>
      </c>
      <c r="B513" s="16" t="s">
        <v>200</v>
      </c>
      <c r="C513" s="40" t="s">
        <v>98</v>
      </c>
      <c r="D513" s="16" t="s">
        <v>1532</v>
      </c>
      <c r="E513" s="108">
        <v>883.6</v>
      </c>
      <c r="F513" s="16" t="s">
        <v>1532</v>
      </c>
      <c r="G513" s="108">
        <v>884.6</v>
      </c>
      <c r="H513" s="16" t="s">
        <v>1047</v>
      </c>
      <c r="I513" s="40">
        <v>1</v>
      </c>
      <c r="J513" s="40">
        <f t="shared" si="78"/>
        <v>300</v>
      </c>
      <c r="K513" s="19"/>
      <c r="L513" s="19">
        <f t="shared" si="79"/>
        <v>1.62</v>
      </c>
      <c r="M513" s="19">
        <f t="shared" si="80"/>
        <v>1.35</v>
      </c>
      <c r="N513" s="16" t="s">
        <v>1052</v>
      </c>
      <c r="O513" s="16"/>
    </row>
    <row r="514" s="6" customFormat="1" ht="37" customHeight="1" spans="1:15">
      <c r="A514" s="22">
        <v>8</v>
      </c>
      <c r="B514" s="16" t="s">
        <v>200</v>
      </c>
      <c r="C514" s="40" t="s">
        <v>98</v>
      </c>
      <c r="D514" s="16" t="s">
        <v>1532</v>
      </c>
      <c r="E514" s="108">
        <v>883.6</v>
      </c>
      <c r="F514" s="16" t="s">
        <v>1532</v>
      </c>
      <c r="G514" s="108">
        <v>884.6</v>
      </c>
      <c r="H514" s="16" t="s">
        <v>1047</v>
      </c>
      <c r="I514" s="40">
        <v>1</v>
      </c>
      <c r="J514" s="40">
        <f t="shared" si="78"/>
        <v>300</v>
      </c>
      <c r="K514" s="19"/>
      <c r="L514" s="19">
        <f t="shared" si="79"/>
        <v>1.62</v>
      </c>
      <c r="M514" s="19">
        <f t="shared" si="80"/>
        <v>1.35</v>
      </c>
      <c r="N514" s="16" t="s">
        <v>1052</v>
      </c>
      <c r="O514" s="16"/>
    </row>
    <row r="515" s="6" customFormat="1" ht="37" customHeight="1" spans="1:15">
      <c r="A515" s="22">
        <v>9</v>
      </c>
      <c r="B515" s="16" t="s">
        <v>200</v>
      </c>
      <c r="C515" s="40" t="s">
        <v>281</v>
      </c>
      <c r="D515" s="19" t="s">
        <v>1533</v>
      </c>
      <c r="E515" s="108">
        <v>67.4</v>
      </c>
      <c r="F515" s="19" t="s">
        <v>1533</v>
      </c>
      <c r="G515" s="108">
        <v>68.3</v>
      </c>
      <c r="H515" s="16" t="s">
        <v>1047</v>
      </c>
      <c r="I515" s="40">
        <v>0.899999999999991</v>
      </c>
      <c r="J515" s="40">
        <f t="shared" si="78"/>
        <v>269.999999999997</v>
      </c>
      <c r="K515" s="19"/>
      <c r="L515" s="19">
        <f t="shared" si="79"/>
        <v>1.45</v>
      </c>
      <c r="M515" s="19">
        <f t="shared" si="80"/>
        <v>1.21</v>
      </c>
      <c r="N515" s="16" t="s">
        <v>1052</v>
      </c>
      <c r="O515" s="16"/>
    </row>
    <row r="516" s="6" customFormat="1" ht="37" customHeight="1" spans="1:15">
      <c r="A516" s="22">
        <v>10</v>
      </c>
      <c r="B516" s="16" t="s">
        <v>200</v>
      </c>
      <c r="C516" s="40" t="s">
        <v>281</v>
      </c>
      <c r="D516" s="19" t="s">
        <v>1533</v>
      </c>
      <c r="E516" s="108">
        <v>67.4</v>
      </c>
      <c r="F516" s="19" t="s">
        <v>1533</v>
      </c>
      <c r="G516" s="108">
        <v>68.3</v>
      </c>
      <c r="H516" s="16" t="s">
        <v>1047</v>
      </c>
      <c r="I516" s="40">
        <v>0.899999999999991</v>
      </c>
      <c r="J516" s="40">
        <f t="shared" si="78"/>
        <v>269.999999999997</v>
      </c>
      <c r="K516" s="19"/>
      <c r="L516" s="19">
        <f t="shared" si="79"/>
        <v>1.45</v>
      </c>
      <c r="M516" s="19">
        <f t="shared" si="80"/>
        <v>1.21</v>
      </c>
      <c r="N516" s="16" t="s">
        <v>1052</v>
      </c>
      <c r="O516" s="16"/>
    </row>
    <row r="517" s="6" customFormat="1" ht="37" customHeight="1" spans="1:15">
      <c r="A517" s="22">
        <v>11</v>
      </c>
      <c r="B517" s="16" t="s">
        <v>200</v>
      </c>
      <c r="C517" s="40" t="s">
        <v>195</v>
      </c>
      <c r="D517" s="19" t="s">
        <v>1534</v>
      </c>
      <c r="E517" s="108">
        <v>422.5</v>
      </c>
      <c r="F517" s="19" t="s">
        <v>1534</v>
      </c>
      <c r="G517" s="108">
        <v>422.7</v>
      </c>
      <c r="H517" s="16" t="s">
        <v>1047</v>
      </c>
      <c r="I517" s="40">
        <v>0.199999999999989</v>
      </c>
      <c r="J517" s="40">
        <f t="shared" si="78"/>
        <v>59.9999999999967</v>
      </c>
      <c r="K517" s="19"/>
      <c r="L517" s="19">
        <f t="shared" si="79"/>
        <v>0.32</v>
      </c>
      <c r="M517" s="19">
        <f t="shared" si="80"/>
        <v>0.27</v>
      </c>
      <c r="N517" s="16" t="s">
        <v>1052</v>
      </c>
      <c r="O517" s="16"/>
    </row>
    <row r="518" s="6" customFormat="1" ht="37" customHeight="1" spans="1:15">
      <c r="A518" s="22">
        <v>12</v>
      </c>
      <c r="B518" s="16" t="s">
        <v>200</v>
      </c>
      <c r="C518" s="40" t="s">
        <v>195</v>
      </c>
      <c r="D518" s="19" t="s">
        <v>1534</v>
      </c>
      <c r="E518" s="108">
        <v>422.3</v>
      </c>
      <c r="F518" s="19" t="s">
        <v>1534</v>
      </c>
      <c r="G518" s="108">
        <v>422.5</v>
      </c>
      <c r="H518" s="16" t="s">
        <v>1047</v>
      </c>
      <c r="I518" s="40">
        <v>0.199999999999989</v>
      </c>
      <c r="J518" s="40">
        <f t="shared" si="78"/>
        <v>59.9999999999967</v>
      </c>
      <c r="K518" s="19"/>
      <c r="L518" s="19">
        <f t="shared" si="79"/>
        <v>0.32</v>
      </c>
      <c r="M518" s="19">
        <f t="shared" si="80"/>
        <v>0.27</v>
      </c>
      <c r="N518" s="16" t="s">
        <v>1052</v>
      </c>
      <c r="O518" s="16"/>
    </row>
    <row r="519" s="6" customFormat="1" ht="37" customHeight="1" spans="1:15">
      <c r="A519" s="22">
        <v>13</v>
      </c>
      <c r="B519" s="16" t="s">
        <v>200</v>
      </c>
      <c r="C519" s="40" t="s">
        <v>195</v>
      </c>
      <c r="D519" s="19" t="s">
        <v>1535</v>
      </c>
      <c r="E519" s="108">
        <v>437.2</v>
      </c>
      <c r="F519" s="19" t="s">
        <v>1535</v>
      </c>
      <c r="G519" s="108">
        <v>437.69</v>
      </c>
      <c r="H519" s="16" t="s">
        <v>1047</v>
      </c>
      <c r="I519" s="40">
        <v>0.490000000000009</v>
      </c>
      <c r="J519" s="40">
        <f t="shared" si="78"/>
        <v>147.000000000003</v>
      </c>
      <c r="K519" s="19"/>
      <c r="L519" s="19">
        <f t="shared" si="79"/>
        <v>0.79</v>
      </c>
      <c r="M519" s="19">
        <f t="shared" si="80"/>
        <v>0.66</v>
      </c>
      <c r="N519" s="16" t="s">
        <v>1052</v>
      </c>
      <c r="O519" s="16"/>
    </row>
    <row r="520" s="6" customFormat="1" ht="37" customHeight="1" spans="1:15">
      <c r="A520" s="22">
        <v>14</v>
      </c>
      <c r="B520" s="16" t="s">
        <v>200</v>
      </c>
      <c r="C520" s="40" t="s">
        <v>195</v>
      </c>
      <c r="D520" s="19" t="s">
        <v>1535</v>
      </c>
      <c r="E520" s="108">
        <v>436.7</v>
      </c>
      <c r="F520" s="19" t="s">
        <v>1535</v>
      </c>
      <c r="G520" s="108">
        <v>437.2</v>
      </c>
      <c r="H520" s="16" t="s">
        <v>1047</v>
      </c>
      <c r="I520" s="40">
        <v>0.5</v>
      </c>
      <c r="J520" s="40">
        <f t="shared" si="78"/>
        <v>150</v>
      </c>
      <c r="K520" s="19"/>
      <c r="L520" s="19">
        <f t="shared" si="79"/>
        <v>0.82</v>
      </c>
      <c r="M520" s="19">
        <f t="shared" si="80"/>
        <v>0.68</v>
      </c>
      <c r="N520" s="16" t="s">
        <v>1052</v>
      </c>
      <c r="O520" s="16"/>
    </row>
    <row r="521" s="6" customFormat="1" ht="37" customHeight="1" spans="1:15">
      <c r="A521" s="22">
        <v>15</v>
      </c>
      <c r="B521" s="16" t="s">
        <v>200</v>
      </c>
      <c r="C521" s="40" t="s">
        <v>195</v>
      </c>
      <c r="D521" s="19" t="s">
        <v>1535</v>
      </c>
      <c r="E521" s="108">
        <v>439</v>
      </c>
      <c r="F521" s="19" t="s">
        <v>1535</v>
      </c>
      <c r="G521" s="108">
        <v>439.77</v>
      </c>
      <c r="H521" s="16" t="s">
        <v>1047</v>
      </c>
      <c r="I521" s="40">
        <v>0.769999999999982</v>
      </c>
      <c r="J521" s="40">
        <f t="shared" si="78"/>
        <v>230.999999999995</v>
      </c>
      <c r="K521" s="19"/>
      <c r="L521" s="19">
        <f t="shared" si="79"/>
        <v>1.25</v>
      </c>
      <c r="M521" s="19">
        <f t="shared" si="80"/>
        <v>1.04</v>
      </c>
      <c r="N521" s="16" t="s">
        <v>1052</v>
      </c>
      <c r="O521" s="16"/>
    </row>
    <row r="522" s="6" customFormat="1" ht="37" customHeight="1" spans="1:15">
      <c r="A522" s="22">
        <v>16</v>
      </c>
      <c r="B522" s="16" t="s">
        <v>200</v>
      </c>
      <c r="C522" s="40" t="s">
        <v>195</v>
      </c>
      <c r="D522" s="19" t="s">
        <v>1535</v>
      </c>
      <c r="E522" s="108">
        <v>439</v>
      </c>
      <c r="F522" s="19" t="s">
        <v>1535</v>
      </c>
      <c r="G522" s="108">
        <v>439.77</v>
      </c>
      <c r="H522" s="16" t="s">
        <v>1047</v>
      </c>
      <c r="I522" s="40">
        <v>0.769999999999982</v>
      </c>
      <c r="J522" s="40">
        <f t="shared" si="78"/>
        <v>230.999999999995</v>
      </c>
      <c r="K522" s="19"/>
      <c r="L522" s="19">
        <f t="shared" si="79"/>
        <v>1.25</v>
      </c>
      <c r="M522" s="19">
        <f t="shared" si="80"/>
        <v>1.04</v>
      </c>
      <c r="N522" s="16" t="s">
        <v>1052</v>
      </c>
      <c r="O522" s="16"/>
    </row>
    <row r="523" s="5" customFormat="1" ht="37" customHeight="1" spans="1:15">
      <c r="A523" s="15" t="s">
        <v>168</v>
      </c>
      <c r="B523" s="15"/>
      <c r="C523" s="15"/>
      <c r="D523" s="15"/>
      <c r="E523" s="15"/>
      <c r="F523" s="15"/>
      <c r="G523" s="15"/>
      <c r="H523" s="15"/>
      <c r="I523" s="38">
        <f t="shared" ref="I523:M523" si="81">SUM(I524:I528)</f>
        <v>0.779999999999987</v>
      </c>
      <c r="J523" s="38">
        <f t="shared" si="81"/>
        <v>233.999999999996</v>
      </c>
      <c r="K523" s="38">
        <f t="shared" si="81"/>
        <v>0</v>
      </c>
      <c r="L523" s="38">
        <f t="shared" si="81"/>
        <v>1.25</v>
      </c>
      <c r="M523" s="38">
        <f t="shared" si="81"/>
        <v>1.04</v>
      </c>
      <c r="N523" s="15"/>
      <c r="O523" s="15"/>
    </row>
    <row r="524" s="6" customFormat="1" ht="38" customHeight="1" spans="1:15">
      <c r="A524" s="22">
        <v>1</v>
      </c>
      <c r="B524" s="16" t="s">
        <v>168</v>
      </c>
      <c r="C524" s="16" t="s">
        <v>435</v>
      </c>
      <c r="D524" s="22" t="s">
        <v>1536</v>
      </c>
      <c r="E524" s="55">
        <v>112.845</v>
      </c>
      <c r="F524" s="22" t="s">
        <v>1031</v>
      </c>
      <c r="G524" s="55">
        <v>112.925</v>
      </c>
      <c r="H524" s="16" t="s">
        <v>1047</v>
      </c>
      <c r="I524" s="41">
        <f t="shared" ref="I524:I528" si="82">G524-E524</f>
        <v>0.0799999999999983</v>
      </c>
      <c r="J524" s="41">
        <f t="shared" ref="J524:J528" si="83">I524/1000*300*1000</f>
        <v>23.9999999999995</v>
      </c>
      <c r="K524" s="41"/>
      <c r="L524" s="19">
        <f t="shared" ref="L524:L528" si="84">M524*1.2</f>
        <v>0.13</v>
      </c>
      <c r="M524" s="19">
        <f t="shared" ref="M524:M528" si="85">J524*45/10000</f>
        <v>0.11</v>
      </c>
      <c r="N524" s="16" t="s">
        <v>1068</v>
      </c>
      <c r="O524" s="16"/>
    </row>
    <row r="525" s="6" customFormat="1" ht="38" customHeight="1" spans="1:15">
      <c r="A525" s="22">
        <v>2</v>
      </c>
      <c r="B525" s="16" t="s">
        <v>168</v>
      </c>
      <c r="C525" s="16" t="s">
        <v>435</v>
      </c>
      <c r="D525" s="22" t="s">
        <v>1536</v>
      </c>
      <c r="E525" s="55">
        <v>112.97</v>
      </c>
      <c r="F525" s="22" t="s">
        <v>1031</v>
      </c>
      <c r="G525" s="55">
        <v>113.07</v>
      </c>
      <c r="H525" s="16" t="s">
        <v>1047</v>
      </c>
      <c r="I525" s="41">
        <f t="shared" si="82"/>
        <v>0.0999999999999943</v>
      </c>
      <c r="J525" s="41">
        <f t="shared" si="83"/>
        <v>29.9999999999983</v>
      </c>
      <c r="K525" s="41"/>
      <c r="L525" s="19">
        <f t="shared" si="84"/>
        <v>0.16</v>
      </c>
      <c r="M525" s="19">
        <f t="shared" si="85"/>
        <v>0.13</v>
      </c>
      <c r="N525" s="16" t="s">
        <v>1068</v>
      </c>
      <c r="O525" s="16"/>
    </row>
    <row r="526" s="6" customFormat="1" ht="38" customHeight="1" spans="1:15">
      <c r="A526" s="22">
        <v>3</v>
      </c>
      <c r="B526" s="16" t="s">
        <v>168</v>
      </c>
      <c r="C526" s="16" t="s">
        <v>435</v>
      </c>
      <c r="D526" s="22" t="s">
        <v>1536</v>
      </c>
      <c r="E526" s="55">
        <v>113.2</v>
      </c>
      <c r="F526" s="22" t="s">
        <v>1031</v>
      </c>
      <c r="G526" s="55">
        <v>113.5</v>
      </c>
      <c r="H526" s="16" t="s">
        <v>1047</v>
      </c>
      <c r="I526" s="41">
        <f t="shared" si="82"/>
        <v>0.299999999999997</v>
      </c>
      <c r="J526" s="41">
        <f t="shared" si="83"/>
        <v>89.9999999999991</v>
      </c>
      <c r="K526" s="41"/>
      <c r="L526" s="19">
        <f t="shared" si="84"/>
        <v>0.48</v>
      </c>
      <c r="M526" s="19">
        <f t="shared" si="85"/>
        <v>0.4</v>
      </c>
      <c r="N526" s="16" t="s">
        <v>1068</v>
      </c>
      <c r="O526" s="16"/>
    </row>
    <row r="527" s="6" customFormat="1" ht="38" customHeight="1" spans="1:15">
      <c r="A527" s="22">
        <v>4</v>
      </c>
      <c r="B527" s="16" t="s">
        <v>168</v>
      </c>
      <c r="C527" s="16" t="s">
        <v>435</v>
      </c>
      <c r="D527" s="22" t="s">
        <v>1536</v>
      </c>
      <c r="E527" s="55">
        <v>115.4</v>
      </c>
      <c r="F527" s="22" t="s">
        <v>1031</v>
      </c>
      <c r="G527" s="55">
        <v>115.5</v>
      </c>
      <c r="H527" s="16" t="s">
        <v>1047</v>
      </c>
      <c r="I527" s="41">
        <f t="shared" si="82"/>
        <v>0.0999999999999943</v>
      </c>
      <c r="J527" s="41">
        <f t="shared" si="83"/>
        <v>29.9999999999983</v>
      </c>
      <c r="K527" s="41"/>
      <c r="L527" s="19">
        <f t="shared" si="84"/>
        <v>0.16</v>
      </c>
      <c r="M527" s="19">
        <f t="shared" si="85"/>
        <v>0.13</v>
      </c>
      <c r="N527" s="16" t="s">
        <v>1068</v>
      </c>
      <c r="O527" s="16"/>
    </row>
    <row r="528" s="6" customFormat="1" ht="38" customHeight="1" spans="1:15">
      <c r="A528" s="22">
        <v>5</v>
      </c>
      <c r="B528" s="20" t="s">
        <v>168</v>
      </c>
      <c r="C528" s="20" t="s">
        <v>435</v>
      </c>
      <c r="D528" s="23" t="s">
        <v>1536</v>
      </c>
      <c r="E528" s="110">
        <v>117.1</v>
      </c>
      <c r="F528" s="23" t="s">
        <v>1031</v>
      </c>
      <c r="G528" s="110">
        <v>117.3</v>
      </c>
      <c r="H528" s="16" t="s">
        <v>1047</v>
      </c>
      <c r="I528" s="41">
        <f t="shared" si="82"/>
        <v>0.200000000000003</v>
      </c>
      <c r="J528" s="41">
        <f t="shared" si="83"/>
        <v>60.0000000000009</v>
      </c>
      <c r="K528" s="41"/>
      <c r="L528" s="19">
        <f t="shared" si="84"/>
        <v>0.32</v>
      </c>
      <c r="M528" s="19">
        <f t="shared" si="85"/>
        <v>0.27</v>
      </c>
      <c r="N528" s="16" t="s">
        <v>1068</v>
      </c>
      <c r="O528" s="16"/>
    </row>
    <row r="529" s="5" customFormat="1" ht="38" customHeight="1" spans="1:15">
      <c r="A529" s="15" t="s">
        <v>343</v>
      </c>
      <c r="B529" s="15"/>
      <c r="C529" s="15"/>
      <c r="D529" s="15"/>
      <c r="E529" s="15"/>
      <c r="F529" s="15"/>
      <c r="G529" s="15"/>
      <c r="H529" s="15"/>
      <c r="I529" s="114">
        <f t="shared" ref="I529:M529" si="86">SUM(I530:I578)</f>
        <v>15</v>
      </c>
      <c r="J529" s="115">
        <f t="shared" si="86"/>
        <v>4500</v>
      </c>
      <c r="K529" s="114">
        <f t="shared" si="86"/>
        <v>393</v>
      </c>
      <c r="L529" s="114">
        <f t="shared" si="86"/>
        <v>26.44</v>
      </c>
      <c r="M529" s="114">
        <f t="shared" si="86"/>
        <v>22.03</v>
      </c>
      <c r="N529" s="15"/>
      <c r="O529" s="15"/>
    </row>
    <row r="530" s="6" customFormat="1" ht="30" customHeight="1" spans="1:15">
      <c r="A530" s="22">
        <v>1</v>
      </c>
      <c r="B530" s="16" t="s">
        <v>343</v>
      </c>
      <c r="C530" s="111" t="s">
        <v>512</v>
      </c>
      <c r="D530" s="16" t="s">
        <v>1537</v>
      </c>
      <c r="E530" s="16" t="s">
        <v>1538</v>
      </c>
      <c r="F530" s="16" t="s">
        <v>1537</v>
      </c>
      <c r="G530" s="41" t="s">
        <v>1539</v>
      </c>
      <c r="H530" s="16" t="s">
        <v>1047</v>
      </c>
      <c r="I530" s="39">
        <v>0.2</v>
      </c>
      <c r="J530" s="16">
        <v>60</v>
      </c>
      <c r="K530" s="82">
        <v>0</v>
      </c>
      <c r="L530" s="47">
        <f t="shared" ref="L530:L578" si="87">M530*1.2</f>
        <v>0.324</v>
      </c>
      <c r="M530" s="19">
        <f>J530*45/10000</f>
        <v>0.27</v>
      </c>
      <c r="N530" s="16" t="s">
        <v>1139</v>
      </c>
      <c r="O530" s="16"/>
    </row>
    <row r="531" s="6" customFormat="1" ht="30" customHeight="1" spans="1:15">
      <c r="A531" s="22">
        <v>2</v>
      </c>
      <c r="B531" s="16" t="s">
        <v>343</v>
      </c>
      <c r="C531" s="111" t="s">
        <v>98</v>
      </c>
      <c r="D531" s="16" t="s">
        <v>1540</v>
      </c>
      <c r="E531" s="16" t="s">
        <v>1541</v>
      </c>
      <c r="F531" s="16" t="s">
        <v>1540</v>
      </c>
      <c r="G531" s="41" t="s">
        <v>1542</v>
      </c>
      <c r="H531" s="16" t="s">
        <v>1047</v>
      </c>
      <c r="I531" s="39">
        <v>0.2</v>
      </c>
      <c r="J531" s="16">
        <v>60</v>
      </c>
      <c r="K531" s="82">
        <v>0</v>
      </c>
      <c r="L531" s="47">
        <f t="shared" si="87"/>
        <v>0.324</v>
      </c>
      <c r="M531" s="19">
        <f>J531*45/10000</f>
        <v>0.27</v>
      </c>
      <c r="N531" s="16" t="s">
        <v>1139</v>
      </c>
      <c r="O531" s="16"/>
    </row>
    <row r="532" s="6" customFormat="1" ht="30" customHeight="1" spans="1:15">
      <c r="A532" s="22">
        <v>3</v>
      </c>
      <c r="B532" s="16" t="s">
        <v>343</v>
      </c>
      <c r="C532" s="111" t="s">
        <v>98</v>
      </c>
      <c r="D532" s="40"/>
      <c r="E532" s="112" t="s">
        <v>1543</v>
      </c>
      <c r="F532" s="40"/>
      <c r="G532" s="41" t="s">
        <v>1544</v>
      </c>
      <c r="H532" s="16" t="s">
        <v>1047</v>
      </c>
      <c r="I532" s="39">
        <v>0.2</v>
      </c>
      <c r="J532" s="16">
        <v>60</v>
      </c>
      <c r="K532" s="82">
        <v>18</v>
      </c>
      <c r="L532" s="47">
        <f t="shared" si="87"/>
        <v>0.42</v>
      </c>
      <c r="M532" s="19">
        <f t="shared" ref="M532:M537" si="88">(J532+K532)*45/10000</f>
        <v>0.35</v>
      </c>
      <c r="N532" s="16" t="s">
        <v>1545</v>
      </c>
      <c r="O532" s="16"/>
    </row>
    <row r="533" s="6" customFormat="1" ht="30" customHeight="1" spans="1:15">
      <c r="A533" s="22">
        <v>4</v>
      </c>
      <c r="B533" s="16" t="s">
        <v>343</v>
      </c>
      <c r="C533" s="111" t="s">
        <v>98</v>
      </c>
      <c r="D533" s="40"/>
      <c r="E533" s="112" t="s">
        <v>1546</v>
      </c>
      <c r="F533" s="40"/>
      <c r="G533" s="41" t="s">
        <v>1547</v>
      </c>
      <c r="H533" s="16" t="s">
        <v>1047</v>
      </c>
      <c r="I533" s="39">
        <v>0.4</v>
      </c>
      <c r="J533" s="16">
        <v>120</v>
      </c>
      <c r="K533" s="82">
        <v>36</v>
      </c>
      <c r="L533" s="47">
        <f t="shared" si="87"/>
        <v>0.84</v>
      </c>
      <c r="M533" s="19">
        <f t="shared" si="88"/>
        <v>0.7</v>
      </c>
      <c r="N533" s="16" t="s">
        <v>1545</v>
      </c>
      <c r="O533" s="16"/>
    </row>
    <row r="534" s="6" customFormat="1" ht="30" customHeight="1" spans="1:15">
      <c r="A534" s="22">
        <v>5</v>
      </c>
      <c r="B534" s="16" t="s">
        <v>343</v>
      </c>
      <c r="C534" s="111" t="s">
        <v>98</v>
      </c>
      <c r="D534" s="40"/>
      <c r="E534" s="112" t="s">
        <v>1548</v>
      </c>
      <c r="F534" s="40"/>
      <c r="G534" s="41" t="s">
        <v>1549</v>
      </c>
      <c r="H534" s="16" t="s">
        <v>1047</v>
      </c>
      <c r="I534" s="39">
        <v>0.2</v>
      </c>
      <c r="J534" s="16">
        <v>60</v>
      </c>
      <c r="K534" s="82">
        <v>18</v>
      </c>
      <c r="L534" s="47">
        <f t="shared" si="87"/>
        <v>0.42</v>
      </c>
      <c r="M534" s="19">
        <f t="shared" si="88"/>
        <v>0.35</v>
      </c>
      <c r="N534" s="16" t="s">
        <v>1545</v>
      </c>
      <c r="O534" s="16"/>
    </row>
    <row r="535" s="6" customFormat="1" ht="30" customHeight="1" spans="1:15">
      <c r="A535" s="22">
        <v>6</v>
      </c>
      <c r="B535" s="16" t="s">
        <v>343</v>
      </c>
      <c r="C535" s="111" t="s">
        <v>98</v>
      </c>
      <c r="D535" s="40"/>
      <c r="E535" s="112" t="s">
        <v>1550</v>
      </c>
      <c r="F535" s="40"/>
      <c r="G535" s="41" t="s">
        <v>1551</v>
      </c>
      <c r="H535" s="16" t="s">
        <v>1047</v>
      </c>
      <c r="I535" s="39">
        <v>0.3</v>
      </c>
      <c r="J535" s="16">
        <v>90</v>
      </c>
      <c r="K535" s="82">
        <v>27</v>
      </c>
      <c r="L535" s="47">
        <f t="shared" si="87"/>
        <v>0.636</v>
      </c>
      <c r="M535" s="19">
        <f t="shared" si="88"/>
        <v>0.53</v>
      </c>
      <c r="N535" s="16" t="s">
        <v>1545</v>
      </c>
      <c r="O535" s="16"/>
    </row>
    <row r="536" s="6" customFormat="1" ht="30" customHeight="1" spans="1:15">
      <c r="A536" s="22">
        <v>7</v>
      </c>
      <c r="B536" s="16" t="s">
        <v>343</v>
      </c>
      <c r="C536" s="111" t="s">
        <v>98</v>
      </c>
      <c r="D536" s="40"/>
      <c r="E536" s="112" t="s">
        <v>1552</v>
      </c>
      <c r="F536" s="40"/>
      <c r="G536" s="41" t="s">
        <v>1553</v>
      </c>
      <c r="H536" s="16" t="s">
        <v>1047</v>
      </c>
      <c r="I536" s="39">
        <v>0.4</v>
      </c>
      <c r="J536" s="16">
        <v>120</v>
      </c>
      <c r="K536" s="82">
        <v>36</v>
      </c>
      <c r="L536" s="47">
        <f t="shared" si="87"/>
        <v>0.84</v>
      </c>
      <c r="M536" s="19">
        <f t="shared" si="88"/>
        <v>0.7</v>
      </c>
      <c r="N536" s="16" t="s">
        <v>1545</v>
      </c>
      <c r="O536" s="16"/>
    </row>
    <row r="537" s="6" customFormat="1" ht="30" customHeight="1" spans="1:15">
      <c r="A537" s="22">
        <v>8</v>
      </c>
      <c r="B537" s="16" t="s">
        <v>343</v>
      </c>
      <c r="C537" s="111" t="s">
        <v>1554</v>
      </c>
      <c r="D537" s="40"/>
      <c r="E537" s="112" t="s">
        <v>1555</v>
      </c>
      <c r="F537" s="40"/>
      <c r="G537" s="41" t="s">
        <v>1556</v>
      </c>
      <c r="H537" s="16" t="s">
        <v>1047</v>
      </c>
      <c r="I537" s="39">
        <v>0.2</v>
      </c>
      <c r="J537" s="16">
        <v>60</v>
      </c>
      <c r="K537" s="82">
        <v>18</v>
      </c>
      <c r="L537" s="47">
        <f t="shared" si="87"/>
        <v>0.42</v>
      </c>
      <c r="M537" s="19">
        <f t="shared" si="88"/>
        <v>0.35</v>
      </c>
      <c r="N537" s="16" t="s">
        <v>1545</v>
      </c>
      <c r="O537" s="16"/>
    </row>
    <row r="538" s="6" customFormat="1" ht="30" customHeight="1" spans="1:15">
      <c r="A538" s="22">
        <v>9</v>
      </c>
      <c r="B538" s="16" t="s">
        <v>343</v>
      </c>
      <c r="C538" s="111" t="s">
        <v>1554</v>
      </c>
      <c r="D538" s="40"/>
      <c r="E538" s="112" t="s">
        <v>1557</v>
      </c>
      <c r="F538" s="40"/>
      <c r="G538" s="41" t="s">
        <v>1558</v>
      </c>
      <c r="H538" s="16" t="s">
        <v>1047</v>
      </c>
      <c r="I538" s="39">
        <v>0.1</v>
      </c>
      <c r="J538" s="16">
        <v>30</v>
      </c>
      <c r="K538" s="82">
        <v>0</v>
      </c>
      <c r="L538" s="47">
        <f t="shared" si="87"/>
        <v>0.168</v>
      </c>
      <c r="M538" s="19">
        <f t="shared" ref="M538:M544" si="89">J538*45/10000</f>
        <v>0.14</v>
      </c>
      <c r="N538" s="16" t="s">
        <v>1139</v>
      </c>
      <c r="O538" s="16"/>
    </row>
    <row r="539" s="6" customFormat="1" ht="30" customHeight="1" spans="1:15">
      <c r="A539" s="22">
        <v>10</v>
      </c>
      <c r="B539" s="16" t="s">
        <v>343</v>
      </c>
      <c r="C539" s="111" t="s">
        <v>1554</v>
      </c>
      <c r="D539" s="40"/>
      <c r="E539" s="112" t="s">
        <v>1559</v>
      </c>
      <c r="F539" s="40"/>
      <c r="G539" s="41" t="s">
        <v>1560</v>
      </c>
      <c r="H539" s="16" t="s">
        <v>1047</v>
      </c>
      <c r="I539" s="39">
        <v>0.2</v>
      </c>
      <c r="J539" s="16">
        <v>60</v>
      </c>
      <c r="K539" s="82">
        <v>18</v>
      </c>
      <c r="L539" s="47">
        <f t="shared" si="87"/>
        <v>0.42</v>
      </c>
      <c r="M539" s="19">
        <f t="shared" ref="M539:M541" si="90">(J539+K539)*45/10000</f>
        <v>0.35</v>
      </c>
      <c r="N539" s="16" t="s">
        <v>1545</v>
      </c>
      <c r="O539" s="16"/>
    </row>
    <row r="540" s="6" customFormat="1" ht="30" customHeight="1" spans="1:15">
      <c r="A540" s="22">
        <v>11</v>
      </c>
      <c r="B540" s="16" t="s">
        <v>343</v>
      </c>
      <c r="C540" s="111" t="s">
        <v>1554</v>
      </c>
      <c r="D540" s="40"/>
      <c r="E540" s="112" t="s">
        <v>1561</v>
      </c>
      <c r="F540" s="40"/>
      <c r="G540" s="41" t="s">
        <v>1562</v>
      </c>
      <c r="H540" s="16" t="s">
        <v>1047</v>
      </c>
      <c r="I540" s="39">
        <v>0.1</v>
      </c>
      <c r="J540" s="16">
        <v>30</v>
      </c>
      <c r="K540" s="82">
        <v>9</v>
      </c>
      <c r="L540" s="47">
        <f t="shared" si="87"/>
        <v>0.216</v>
      </c>
      <c r="M540" s="19">
        <f t="shared" si="90"/>
        <v>0.18</v>
      </c>
      <c r="N540" s="16" t="s">
        <v>1545</v>
      </c>
      <c r="O540" s="16"/>
    </row>
    <row r="541" s="6" customFormat="1" ht="30" customHeight="1" spans="1:15">
      <c r="A541" s="22">
        <v>12</v>
      </c>
      <c r="B541" s="16" t="s">
        <v>343</v>
      </c>
      <c r="C541" s="111" t="s">
        <v>331</v>
      </c>
      <c r="D541" s="40"/>
      <c r="E541" s="112" t="s">
        <v>1563</v>
      </c>
      <c r="F541" s="40"/>
      <c r="G541" s="41" t="s">
        <v>1564</v>
      </c>
      <c r="H541" s="16" t="s">
        <v>1047</v>
      </c>
      <c r="I541" s="39">
        <v>0.2</v>
      </c>
      <c r="J541" s="16">
        <v>60</v>
      </c>
      <c r="K541" s="82">
        <v>24</v>
      </c>
      <c r="L541" s="47">
        <f t="shared" si="87"/>
        <v>0.456</v>
      </c>
      <c r="M541" s="19">
        <f t="shared" si="90"/>
        <v>0.38</v>
      </c>
      <c r="N541" s="16" t="s">
        <v>1545</v>
      </c>
      <c r="O541" s="16"/>
    </row>
    <row r="542" s="6" customFormat="1" ht="30" customHeight="1" spans="1:15">
      <c r="A542" s="22">
        <v>13</v>
      </c>
      <c r="B542" s="16" t="s">
        <v>343</v>
      </c>
      <c r="C542" s="111" t="s">
        <v>1554</v>
      </c>
      <c r="D542" s="40"/>
      <c r="E542" s="112" t="s">
        <v>1565</v>
      </c>
      <c r="F542" s="40"/>
      <c r="G542" s="41" t="s">
        <v>1566</v>
      </c>
      <c r="H542" s="16" t="s">
        <v>1047</v>
      </c>
      <c r="I542" s="39">
        <v>0.2</v>
      </c>
      <c r="J542" s="16">
        <v>60</v>
      </c>
      <c r="K542" s="82">
        <v>0</v>
      </c>
      <c r="L542" s="47">
        <f t="shared" si="87"/>
        <v>0.324</v>
      </c>
      <c r="M542" s="19">
        <f t="shared" si="89"/>
        <v>0.27</v>
      </c>
      <c r="N542" s="16" t="s">
        <v>1139</v>
      </c>
      <c r="O542" s="16"/>
    </row>
    <row r="543" s="6" customFormat="1" ht="30" customHeight="1" spans="1:15">
      <c r="A543" s="22">
        <v>14</v>
      </c>
      <c r="B543" s="16" t="s">
        <v>343</v>
      </c>
      <c r="C543" s="111" t="s">
        <v>1554</v>
      </c>
      <c r="D543" s="40"/>
      <c r="E543" s="112" t="s">
        <v>1567</v>
      </c>
      <c r="F543" s="40"/>
      <c r="G543" s="41" t="s">
        <v>1568</v>
      </c>
      <c r="H543" s="16" t="s">
        <v>1047</v>
      </c>
      <c r="I543" s="39">
        <v>0.2</v>
      </c>
      <c r="J543" s="16">
        <v>60</v>
      </c>
      <c r="K543" s="82">
        <v>0</v>
      </c>
      <c r="L543" s="47">
        <f t="shared" si="87"/>
        <v>0.324</v>
      </c>
      <c r="M543" s="19">
        <f t="shared" si="89"/>
        <v>0.27</v>
      </c>
      <c r="N543" s="16" t="s">
        <v>1139</v>
      </c>
      <c r="O543" s="16"/>
    </row>
    <row r="544" s="6" customFormat="1" ht="30" customHeight="1" spans="1:15">
      <c r="A544" s="22">
        <v>15</v>
      </c>
      <c r="B544" s="16" t="s">
        <v>343</v>
      </c>
      <c r="C544" s="111" t="s">
        <v>1554</v>
      </c>
      <c r="D544" s="40"/>
      <c r="E544" s="112" t="s">
        <v>1569</v>
      </c>
      <c r="F544" s="40"/>
      <c r="G544" s="41" t="s">
        <v>1570</v>
      </c>
      <c r="H544" s="16" t="s">
        <v>1047</v>
      </c>
      <c r="I544" s="39">
        <v>0.4</v>
      </c>
      <c r="J544" s="16">
        <v>120</v>
      </c>
      <c r="K544" s="82">
        <v>0</v>
      </c>
      <c r="L544" s="47">
        <f t="shared" si="87"/>
        <v>0.648</v>
      </c>
      <c r="M544" s="19">
        <f t="shared" si="89"/>
        <v>0.54</v>
      </c>
      <c r="N544" s="16" t="s">
        <v>1139</v>
      </c>
      <c r="O544" s="16"/>
    </row>
    <row r="545" s="6" customFormat="1" ht="30" customHeight="1" spans="1:15">
      <c r="A545" s="22">
        <v>16</v>
      </c>
      <c r="B545" s="16" t="s">
        <v>343</v>
      </c>
      <c r="C545" s="111" t="s">
        <v>1554</v>
      </c>
      <c r="D545" s="40"/>
      <c r="E545" s="112" t="s">
        <v>1571</v>
      </c>
      <c r="F545" s="40"/>
      <c r="G545" s="41" t="s">
        <v>1572</v>
      </c>
      <c r="H545" s="16" t="s">
        <v>1047</v>
      </c>
      <c r="I545" s="39">
        <v>0.4</v>
      </c>
      <c r="J545" s="16">
        <v>120</v>
      </c>
      <c r="K545" s="82">
        <v>36</v>
      </c>
      <c r="L545" s="47">
        <f t="shared" si="87"/>
        <v>0.84</v>
      </c>
      <c r="M545" s="19">
        <f t="shared" ref="M545:M548" si="91">(J545+K545)*45/10000</f>
        <v>0.7</v>
      </c>
      <c r="N545" s="16" t="s">
        <v>1545</v>
      </c>
      <c r="O545" s="16"/>
    </row>
    <row r="546" s="6" customFormat="1" ht="30" customHeight="1" spans="1:15">
      <c r="A546" s="22">
        <v>17</v>
      </c>
      <c r="B546" s="16" t="s">
        <v>343</v>
      </c>
      <c r="C546" s="111" t="s">
        <v>1554</v>
      </c>
      <c r="D546" s="40"/>
      <c r="E546" s="112" t="s">
        <v>1573</v>
      </c>
      <c r="F546" s="40"/>
      <c r="G546" s="41" t="s">
        <v>1574</v>
      </c>
      <c r="H546" s="16" t="s">
        <v>1047</v>
      </c>
      <c r="I546" s="39">
        <v>0.4</v>
      </c>
      <c r="J546" s="16">
        <v>120</v>
      </c>
      <c r="K546" s="82">
        <v>0</v>
      </c>
      <c r="L546" s="47">
        <f t="shared" si="87"/>
        <v>0.648</v>
      </c>
      <c r="M546" s="19">
        <f t="shared" ref="M546:M554" si="92">J546*45/10000</f>
        <v>0.54</v>
      </c>
      <c r="N546" s="16" t="s">
        <v>1139</v>
      </c>
      <c r="O546" s="16"/>
    </row>
    <row r="547" s="6" customFormat="1" ht="30" customHeight="1" spans="1:15">
      <c r="A547" s="22">
        <v>18</v>
      </c>
      <c r="B547" s="16" t="s">
        <v>343</v>
      </c>
      <c r="C547" s="111" t="s">
        <v>331</v>
      </c>
      <c r="D547" s="40"/>
      <c r="E547" s="112" t="s">
        <v>1575</v>
      </c>
      <c r="F547" s="40"/>
      <c r="G547" s="41" t="s">
        <v>1576</v>
      </c>
      <c r="H547" s="16" t="s">
        <v>1047</v>
      </c>
      <c r="I547" s="39">
        <v>0.2</v>
      </c>
      <c r="J547" s="16">
        <v>60</v>
      </c>
      <c r="K547" s="82">
        <v>18</v>
      </c>
      <c r="L547" s="47">
        <f t="shared" si="87"/>
        <v>0.42</v>
      </c>
      <c r="M547" s="19">
        <f t="shared" si="91"/>
        <v>0.35</v>
      </c>
      <c r="N547" s="16" t="s">
        <v>1545</v>
      </c>
      <c r="O547" s="16"/>
    </row>
    <row r="548" s="6" customFormat="1" ht="30" customHeight="1" spans="1:15">
      <c r="A548" s="22">
        <v>19</v>
      </c>
      <c r="B548" s="16" t="s">
        <v>343</v>
      </c>
      <c r="C548" s="111" t="s">
        <v>331</v>
      </c>
      <c r="D548" s="40"/>
      <c r="E548" s="112" t="s">
        <v>1577</v>
      </c>
      <c r="F548" s="40"/>
      <c r="G548" s="41" t="s">
        <v>1578</v>
      </c>
      <c r="H548" s="16" t="s">
        <v>1047</v>
      </c>
      <c r="I548" s="39">
        <v>0.2</v>
      </c>
      <c r="J548" s="16">
        <v>60</v>
      </c>
      <c r="K548" s="82">
        <v>18</v>
      </c>
      <c r="L548" s="47">
        <f t="shared" si="87"/>
        <v>0.42</v>
      </c>
      <c r="M548" s="19">
        <f t="shared" si="91"/>
        <v>0.35</v>
      </c>
      <c r="N548" s="16" t="s">
        <v>1545</v>
      </c>
      <c r="O548" s="16"/>
    </row>
    <row r="549" s="6" customFormat="1" ht="30" customHeight="1" spans="1:15">
      <c r="A549" s="22">
        <v>20</v>
      </c>
      <c r="B549" s="16" t="s">
        <v>343</v>
      </c>
      <c r="C549" s="111" t="s">
        <v>331</v>
      </c>
      <c r="D549" s="40"/>
      <c r="E549" s="112" t="s">
        <v>1579</v>
      </c>
      <c r="F549" s="40"/>
      <c r="G549" s="41" t="s">
        <v>1580</v>
      </c>
      <c r="H549" s="16" t="s">
        <v>1047</v>
      </c>
      <c r="I549" s="39">
        <v>0.2</v>
      </c>
      <c r="J549" s="16">
        <v>60</v>
      </c>
      <c r="K549" s="82">
        <v>0</v>
      </c>
      <c r="L549" s="47">
        <f t="shared" si="87"/>
        <v>0.324</v>
      </c>
      <c r="M549" s="19">
        <f t="shared" si="92"/>
        <v>0.27</v>
      </c>
      <c r="N549" s="16" t="s">
        <v>1139</v>
      </c>
      <c r="O549" s="16"/>
    </row>
    <row r="550" s="6" customFormat="1" ht="30" customHeight="1" spans="1:15">
      <c r="A550" s="22">
        <v>21</v>
      </c>
      <c r="B550" s="16" t="s">
        <v>343</v>
      </c>
      <c r="C550" s="111" t="s">
        <v>331</v>
      </c>
      <c r="D550" s="40"/>
      <c r="E550" s="112" t="s">
        <v>1581</v>
      </c>
      <c r="F550" s="40"/>
      <c r="G550" s="41" t="s">
        <v>1582</v>
      </c>
      <c r="H550" s="16" t="s">
        <v>1047</v>
      </c>
      <c r="I550" s="39">
        <v>0.2</v>
      </c>
      <c r="J550" s="16">
        <v>60</v>
      </c>
      <c r="K550" s="82">
        <v>18</v>
      </c>
      <c r="L550" s="47">
        <f t="shared" si="87"/>
        <v>0.42</v>
      </c>
      <c r="M550" s="19">
        <f>(J550+K550)*45/10000</f>
        <v>0.35</v>
      </c>
      <c r="N550" s="16" t="s">
        <v>1545</v>
      </c>
      <c r="O550" s="16"/>
    </row>
    <row r="551" s="6" customFormat="1" ht="30" customHeight="1" spans="1:15">
      <c r="A551" s="22">
        <v>22</v>
      </c>
      <c r="B551" s="16" t="s">
        <v>343</v>
      </c>
      <c r="C551" s="111" t="s">
        <v>331</v>
      </c>
      <c r="D551" s="40"/>
      <c r="E551" s="112" t="s">
        <v>1583</v>
      </c>
      <c r="F551" s="40"/>
      <c r="G551" s="41" t="s">
        <v>1584</v>
      </c>
      <c r="H551" s="16" t="s">
        <v>1047</v>
      </c>
      <c r="I551" s="39">
        <v>0.4</v>
      </c>
      <c r="J551" s="16">
        <v>120</v>
      </c>
      <c r="K551" s="82">
        <v>0</v>
      </c>
      <c r="L551" s="47">
        <f t="shared" si="87"/>
        <v>0.648</v>
      </c>
      <c r="M551" s="19">
        <f t="shared" si="92"/>
        <v>0.54</v>
      </c>
      <c r="N551" s="16" t="s">
        <v>1139</v>
      </c>
      <c r="O551" s="16"/>
    </row>
    <row r="552" s="6" customFormat="1" ht="30" customHeight="1" spans="1:15">
      <c r="A552" s="22">
        <v>23</v>
      </c>
      <c r="B552" s="16" t="s">
        <v>343</v>
      </c>
      <c r="C552" s="111" t="s">
        <v>331</v>
      </c>
      <c r="D552" s="40"/>
      <c r="E552" s="112" t="s">
        <v>1585</v>
      </c>
      <c r="F552" s="40"/>
      <c r="G552" s="41" t="s">
        <v>1586</v>
      </c>
      <c r="H552" s="16" t="s">
        <v>1047</v>
      </c>
      <c r="I552" s="39">
        <v>0.5</v>
      </c>
      <c r="J552" s="16">
        <v>150</v>
      </c>
      <c r="K552" s="82">
        <v>0</v>
      </c>
      <c r="L552" s="47">
        <f t="shared" si="87"/>
        <v>0.816</v>
      </c>
      <c r="M552" s="19">
        <f t="shared" si="92"/>
        <v>0.68</v>
      </c>
      <c r="N552" s="16" t="s">
        <v>1139</v>
      </c>
      <c r="O552" s="16"/>
    </row>
    <row r="553" s="6" customFormat="1" ht="30" customHeight="1" spans="1:15">
      <c r="A553" s="22">
        <v>24</v>
      </c>
      <c r="B553" s="16" t="s">
        <v>343</v>
      </c>
      <c r="C553" s="111" t="s">
        <v>331</v>
      </c>
      <c r="D553" s="40"/>
      <c r="E553" s="112" t="s">
        <v>1587</v>
      </c>
      <c r="F553" s="40"/>
      <c r="G553" s="41" t="s">
        <v>1588</v>
      </c>
      <c r="H553" s="16" t="s">
        <v>1047</v>
      </c>
      <c r="I553" s="39">
        <v>0.1</v>
      </c>
      <c r="J553" s="16">
        <v>30</v>
      </c>
      <c r="K553" s="82">
        <v>0</v>
      </c>
      <c r="L553" s="47">
        <f t="shared" si="87"/>
        <v>0.168</v>
      </c>
      <c r="M553" s="19">
        <f t="shared" si="92"/>
        <v>0.14</v>
      </c>
      <c r="N553" s="16" t="s">
        <v>1139</v>
      </c>
      <c r="O553" s="16"/>
    </row>
    <row r="554" s="6" customFormat="1" ht="30" customHeight="1" spans="1:15">
      <c r="A554" s="22">
        <v>25</v>
      </c>
      <c r="B554" s="16" t="s">
        <v>343</v>
      </c>
      <c r="C554" s="111" t="s">
        <v>331</v>
      </c>
      <c r="D554" s="40"/>
      <c r="E554" s="112" t="s">
        <v>1589</v>
      </c>
      <c r="F554" s="40"/>
      <c r="G554" s="41" t="s">
        <v>1590</v>
      </c>
      <c r="H554" s="16" t="s">
        <v>1047</v>
      </c>
      <c r="I554" s="39">
        <v>0.2</v>
      </c>
      <c r="J554" s="16">
        <v>60</v>
      </c>
      <c r="K554" s="82">
        <v>0</v>
      </c>
      <c r="L554" s="47">
        <f t="shared" si="87"/>
        <v>0.324</v>
      </c>
      <c r="M554" s="19">
        <f t="shared" si="92"/>
        <v>0.27</v>
      </c>
      <c r="N554" s="16" t="s">
        <v>1139</v>
      </c>
      <c r="O554" s="16"/>
    </row>
    <row r="555" s="6" customFormat="1" ht="30" customHeight="1" spans="1:15">
      <c r="A555" s="22">
        <v>26</v>
      </c>
      <c r="B555" s="16" t="s">
        <v>343</v>
      </c>
      <c r="C555" s="111" t="s">
        <v>331</v>
      </c>
      <c r="D555" s="40"/>
      <c r="E555" s="112" t="s">
        <v>1591</v>
      </c>
      <c r="F555" s="40"/>
      <c r="G555" s="41" t="s">
        <v>1592</v>
      </c>
      <c r="H555" s="16" t="s">
        <v>1047</v>
      </c>
      <c r="I555" s="39">
        <v>0.3</v>
      </c>
      <c r="J555" s="16">
        <v>90</v>
      </c>
      <c r="K555" s="81">
        <v>27</v>
      </c>
      <c r="L555" s="47">
        <f t="shared" si="87"/>
        <v>0.636</v>
      </c>
      <c r="M555" s="19">
        <f t="shared" ref="M555:M557" si="93">(J555+K555)*45/10000</f>
        <v>0.53</v>
      </c>
      <c r="N555" s="16" t="s">
        <v>1545</v>
      </c>
      <c r="O555" s="16"/>
    </row>
    <row r="556" s="6" customFormat="1" ht="30" customHeight="1" spans="1:15">
      <c r="A556" s="22">
        <v>27</v>
      </c>
      <c r="B556" s="16" t="s">
        <v>343</v>
      </c>
      <c r="C556" s="111" t="s">
        <v>331</v>
      </c>
      <c r="D556" s="40"/>
      <c r="E556" s="112" t="s">
        <v>1593</v>
      </c>
      <c r="F556" s="40"/>
      <c r="G556" s="41" t="s">
        <v>1594</v>
      </c>
      <c r="H556" s="16" t="s">
        <v>1047</v>
      </c>
      <c r="I556" s="39">
        <v>0.2</v>
      </c>
      <c r="J556" s="16">
        <v>60</v>
      </c>
      <c r="K556" s="82">
        <v>18</v>
      </c>
      <c r="L556" s="47">
        <f t="shared" si="87"/>
        <v>0.42</v>
      </c>
      <c r="M556" s="19">
        <f t="shared" si="93"/>
        <v>0.35</v>
      </c>
      <c r="N556" s="16" t="s">
        <v>1545</v>
      </c>
      <c r="O556" s="16"/>
    </row>
    <row r="557" s="6" customFormat="1" ht="30" customHeight="1" spans="1:15">
      <c r="A557" s="22">
        <v>28</v>
      </c>
      <c r="B557" s="16" t="s">
        <v>343</v>
      </c>
      <c r="C557" s="111" t="s">
        <v>178</v>
      </c>
      <c r="D557" s="40"/>
      <c r="E557" s="112" t="s">
        <v>1595</v>
      </c>
      <c r="F557" s="40"/>
      <c r="G557" s="41" t="s">
        <v>1596</v>
      </c>
      <c r="H557" s="16" t="s">
        <v>1047</v>
      </c>
      <c r="I557" s="39">
        <v>0.2</v>
      </c>
      <c r="J557" s="16">
        <v>60</v>
      </c>
      <c r="K557" s="82">
        <v>18</v>
      </c>
      <c r="L557" s="47">
        <f t="shared" si="87"/>
        <v>0.42</v>
      </c>
      <c r="M557" s="19">
        <f t="shared" si="93"/>
        <v>0.35</v>
      </c>
      <c r="N557" s="16" t="s">
        <v>1545</v>
      </c>
      <c r="O557" s="16"/>
    </row>
    <row r="558" s="6" customFormat="1" ht="30" customHeight="1" spans="1:15">
      <c r="A558" s="22">
        <v>29</v>
      </c>
      <c r="B558" s="16" t="s">
        <v>343</v>
      </c>
      <c r="C558" s="111" t="s">
        <v>178</v>
      </c>
      <c r="D558" s="40"/>
      <c r="E558" s="112" t="s">
        <v>1597</v>
      </c>
      <c r="F558" s="40"/>
      <c r="G558" s="41" t="s">
        <v>1598</v>
      </c>
      <c r="H558" s="16" t="s">
        <v>1047</v>
      </c>
      <c r="I558" s="39">
        <v>0.6</v>
      </c>
      <c r="J558" s="16">
        <v>180</v>
      </c>
      <c r="K558" s="82">
        <v>0</v>
      </c>
      <c r="L558" s="47">
        <f t="shared" si="87"/>
        <v>0.972</v>
      </c>
      <c r="M558" s="19">
        <f t="shared" ref="M558:M567" si="94">J558*45/10000</f>
        <v>0.81</v>
      </c>
      <c r="N558" s="16" t="s">
        <v>1139</v>
      </c>
      <c r="O558" s="16"/>
    </row>
    <row r="559" s="6" customFormat="1" ht="30" customHeight="1" spans="1:15">
      <c r="A559" s="22">
        <v>30</v>
      </c>
      <c r="B559" s="16" t="s">
        <v>343</v>
      </c>
      <c r="C559" s="111" t="s">
        <v>178</v>
      </c>
      <c r="D559" s="40"/>
      <c r="E559" s="112" t="s">
        <v>1599</v>
      </c>
      <c r="F559" s="40"/>
      <c r="G559" s="41" t="s">
        <v>1600</v>
      </c>
      <c r="H559" s="16" t="s">
        <v>1047</v>
      </c>
      <c r="I559" s="39">
        <v>0.6</v>
      </c>
      <c r="J559" s="16">
        <v>180</v>
      </c>
      <c r="K559" s="82">
        <v>0</v>
      </c>
      <c r="L559" s="47">
        <f t="shared" si="87"/>
        <v>0.972</v>
      </c>
      <c r="M559" s="19">
        <f t="shared" si="94"/>
        <v>0.81</v>
      </c>
      <c r="N559" s="16" t="s">
        <v>1139</v>
      </c>
      <c r="O559" s="16"/>
    </row>
    <row r="560" s="6" customFormat="1" ht="30" customHeight="1" spans="1:15">
      <c r="A560" s="22">
        <v>31</v>
      </c>
      <c r="B560" s="16" t="s">
        <v>343</v>
      </c>
      <c r="C560" s="111" t="s">
        <v>178</v>
      </c>
      <c r="D560" s="40"/>
      <c r="E560" s="112" t="s">
        <v>1601</v>
      </c>
      <c r="F560" s="40"/>
      <c r="G560" s="41" t="s">
        <v>1602</v>
      </c>
      <c r="H560" s="16" t="s">
        <v>1047</v>
      </c>
      <c r="I560" s="39">
        <v>0.2</v>
      </c>
      <c r="J560" s="16">
        <v>60</v>
      </c>
      <c r="K560" s="82">
        <v>0</v>
      </c>
      <c r="L560" s="47">
        <f t="shared" si="87"/>
        <v>0.324</v>
      </c>
      <c r="M560" s="19">
        <f t="shared" si="94"/>
        <v>0.27</v>
      </c>
      <c r="N560" s="16" t="s">
        <v>1139</v>
      </c>
      <c r="O560" s="16"/>
    </row>
    <row r="561" s="6" customFormat="1" ht="30" customHeight="1" spans="1:15">
      <c r="A561" s="22">
        <v>32</v>
      </c>
      <c r="B561" s="16" t="s">
        <v>343</v>
      </c>
      <c r="C561" s="111" t="s">
        <v>178</v>
      </c>
      <c r="D561" s="40"/>
      <c r="E561" s="112" t="s">
        <v>1603</v>
      </c>
      <c r="F561" s="40"/>
      <c r="G561" s="41" t="s">
        <v>1604</v>
      </c>
      <c r="H561" s="16" t="s">
        <v>1047</v>
      </c>
      <c r="I561" s="39">
        <v>0.4</v>
      </c>
      <c r="J561" s="16">
        <v>120</v>
      </c>
      <c r="K561" s="82">
        <v>0</v>
      </c>
      <c r="L561" s="47">
        <f t="shared" si="87"/>
        <v>0.648</v>
      </c>
      <c r="M561" s="19">
        <f t="shared" si="94"/>
        <v>0.54</v>
      </c>
      <c r="N561" s="16" t="s">
        <v>1139</v>
      </c>
      <c r="O561" s="16"/>
    </row>
    <row r="562" s="6" customFormat="1" ht="30" customHeight="1" spans="1:15">
      <c r="A562" s="22">
        <v>33</v>
      </c>
      <c r="B562" s="16" t="s">
        <v>343</v>
      </c>
      <c r="C562" s="111" t="s">
        <v>178</v>
      </c>
      <c r="D562" s="40"/>
      <c r="E562" s="112" t="s">
        <v>1605</v>
      </c>
      <c r="F562" s="40"/>
      <c r="G562" s="41" t="s">
        <v>1606</v>
      </c>
      <c r="H562" s="16" t="s">
        <v>1047</v>
      </c>
      <c r="I562" s="39">
        <v>1.8</v>
      </c>
      <c r="J562" s="16">
        <v>540</v>
      </c>
      <c r="K562" s="82">
        <v>0</v>
      </c>
      <c r="L562" s="47">
        <f t="shared" si="87"/>
        <v>2.916</v>
      </c>
      <c r="M562" s="19">
        <f t="shared" si="94"/>
        <v>2.43</v>
      </c>
      <c r="N562" s="16" t="s">
        <v>1139</v>
      </c>
      <c r="O562" s="16"/>
    </row>
    <row r="563" s="6" customFormat="1" ht="30" customHeight="1" spans="1:15">
      <c r="A563" s="22">
        <v>34</v>
      </c>
      <c r="B563" s="16" t="s">
        <v>343</v>
      </c>
      <c r="C563" s="111" t="s">
        <v>178</v>
      </c>
      <c r="D563" s="40"/>
      <c r="E563" s="112" t="s">
        <v>1607</v>
      </c>
      <c r="F563" s="40"/>
      <c r="G563" s="41" t="s">
        <v>1608</v>
      </c>
      <c r="H563" s="16" t="s">
        <v>1047</v>
      </c>
      <c r="I563" s="39">
        <v>0.6</v>
      </c>
      <c r="J563" s="16">
        <v>180</v>
      </c>
      <c r="K563" s="82">
        <v>0</v>
      </c>
      <c r="L563" s="47">
        <f t="shared" si="87"/>
        <v>0.972</v>
      </c>
      <c r="M563" s="19">
        <f t="shared" si="94"/>
        <v>0.81</v>
      </c>
      <c r="N563" s="16" t="s">
        <v>1139</v>
      </c>
      <c r="O563" s="16"/>
    </row>
    <row r="564" s="6" customFormat="1" ht="30" customHeight="1" spans="1:15">
      <c r="A564" s="22">
        <v>35</v>
      </c>
      <c r="B564" s="16" t="s">
        <v>343</v>
      </c>
      <c r="C564" s="111" t="s">
        <v>178</v>
      </c>
      <c r="D564" s="40"/>
      <c r="E564" s="112" t="s">
        <v>1609</v>
      </c>
      <c r="F564" s="40"/>
      <c r="G564" s="41" t="s">
        <v>1610</v>
      </c>
      <c r="H564" s="16" t="s">
        <v>1047</v>
      </c>
      <c r="I564" s="39">
        <v>1</v>
      </c>
      <c r="J564" s="16">
        <v>300</v>
      </c>
      <c r="K564" s="82">
        <v>0</v>
      </c>
      <c r="L564" s="47">
        <f t="shared" si="87"/>
        <v>1.62</v>
      </c>
      <c r="M564" s="19">
        <f t="shared" si="94"/>
        <v>1.35</v>
      </c>
      <c r="N564" s="16" t="s">
        <v>1139</v>
      </c>
      <c r="O564" s="16"/>
    </row>
    <row r="565" s="6" customFormat="1" ht="30" customHeight="1" spans="1:15">
      <c r="A565" s="22">
        <v>36</v>
      </c>
      <c r="B565" s="16" t="s">
        <v>343</v>
      </c>
      <c r="C565" s="111" t="s">
        <v>178</v>
      </c>
      <c r="D565" s="40"/>
      <c r="E565" s="112" t="s">
        <v>1611</v>
      </c>
      <c r="F565" s="40"/>
      <c r="G565" s="39" t="s">
        <v>1612</v>
      </c>
      <c r="H565" s="16" t="s">
        <v>1047</v>
      </c>
      <c r="I565" s="39">
        <v>0.2</v>
      </c>
      <c r="J565" s="16">
        <v>60</v>
      </c>
      <c r="K565" s="82">
        <v>0</v>
      </c>
      <c r="L565" s="47">
        <f t="shared" si="87"/>
        <v>0.324</v>
      </c>
      <c r="M565" s="19">
        <f t="shared" si="94"/>
        <v>0.27</v>
      </c>
      <c r="N565" s="16" t="s">
        <v>1139</v>
      </c>
      <c r="O565" s="16"/>
    </row>
    <row r="566" s="6" customFormat="1" ht="30" customHeight="1" spans="1:15">
      <c r="A566" s="22">
        <v>37</v>
      </c>
      <c r="B566" s="16" t="s">
        <v>343</v>
      </c>
      <c r="C566" s="111" t="s">
        <v>331</v>
      </c>
      <c r="D566" s="40"/>
      <c r="E566" s="112" t="s">
        <v>1613</v>
      </c>
      <c r="F566" s="40"/>
      <c r="G566" s="41" t="s">
        <v>1614</v>
      </c>
      <c r="H566" s="16" t="s">
        <v>1047</v>
      </c>
      <c r="I566" s="39">
        <v>0.2</v>
      </c>
      <c r="J566" s="16">
        <v>60</v>
      </c>
      <c r="K566" s="82">
        <v>0</v>
      </c>
      <c r="L566" s="47">
        <f t="shared" si="87"/>
        <v>0.324</v>
      </c>
      <c r="M566" s="19">
        <f t="shared" si="94"/>
        <v>0.27</v>
      </c>
      <c r="N566" s="16" t="s">
        <v>1139</v>
      </c>
      <c r="O566" s="16"/>
    </row>
    <row r="567" s="6" customFormat="1" ht="30" customHeight="1" spans="1:15">
      <c r="A567" s="22">
        <v>38</v>
      </c>
      <c r="B567" s="16" t="s">
        <v>343</v>
      </c>
      <c r="C567" s="111" t="s">
        <v>331</v>
      </c>
      <c r="D567" s="40"/>
      <c r="E567" s="112" t="s">
        <v>1615</v>
      </c>
      <c r="F567" s="40"/>
      <c r="G567" s="41" t="s">
        <v>1616</v>
      </c>
      <c r="H567" s="16" t="s">
        <v>1047</v>
      </c>
      <c r="I567" s="39">
        <v>0.2</v>
      </c>
      <c r="J567" s="16">
        <v>60</v>
      </c>
      <c r="K567" s="82">
        <v>0</v>
      </c>
      <c r="L567" s="47">
        <f t="shared" si="87"/>
        <v>0.324</v>
      </c>
      <c r="M567" s="19">
        <f t="shared" si="94"/>
        <v>0.27</v>
      </c>
      <c r="N567" s="16" t="s">
        <v>1139</v>
      </c>
      <c r="O567" s="16"/>
    </row>
    <row r="568" s="6" customFormat="1" ht="30" customHeight="1" spans="1:15">
      <c r="A568" s="22">
        <v>39</v>
      </c>
      <c r="B568" s="16" t="s">
        <v>343</v>
      </c>
      <c r="C568" s="111" t="s">
        <v>866</v>
      </c>
      <c r="D568" s="40"/>
      <c r="E568" s="112" t="s">
        <v>1617</v>
      </c>
      <c r="F568" s="40"/>
      <c r="G568" s="41" t="s">
        <v>1618</v>
      </c>
      <c r="H568" s="16" t="s">
        <v>1047</v>
      </c>
      <c r="I568" s="39">
        <v>0.2</v>
      </c>
      <c r="J568" s="16">
        <v>60</v>
      </c>
      <c r="K568" s="82">
        <v>18</v>
      </c>
      <c r="L568" s="47">
        <f t="shared" si="87"/>
        <v>0.42</v>
      </c>
      <c r="M568" s="19">
        <f>(J568+K568)*45/10000</f>
        <v>0.35</v>
      </c>
      <c r="N568" s="16" t="s">
        <v>1545</v>
      </c>
      <c r="O568" s="16"/>
    </row>
    <row r="569" s="6" customFormat="1" ht="30" customHeight="1" spans="1:15">
      <c r="A569" s="22">
        <v>40</v>
      </c>
      <c r="B569" s="16" t="s">
        <v>343</v>
      </c>
      <c r="C569" s="111" t="s">
        <v>866</v>
      </c>
      <c r="D569" s="40"/>
      <c r="E569" s="112" t="s">
        <v>1619</v>
      </c>
      <c r="F569" s="40"/>
      <c r="G569" s="41" t="s">
        <v>1620</v>
      </c>
      <c r="H569" s="16" t="s">
        <v>1047</v>
      </c>
      <c r="I569" s="39">
        <v>0.2</v>
      </c>
      <c r="J569" s="16">
        <v>60</v>
      </c>
      <c r="K569" s="82">
        <v>0</v>
      </c>
      <c r="L569" s="47">
        <f t="shared" si="87"/>
        <v>0.324</v>
      </c>
      <c r="M569" s="19">
        <f t="shared" ref="M569:M577" si="95">J569*45/10000</f>
        <v>0.27</v>
      </c>
      <c r="N569" s="16" t="s">
        <v>1139</v>
      </c>
      <c r="O569" s="16"/>
    </row>
    <row r="570" s="6" customFormat="1" ht="30" customHeight="1" spans="1:15">
      <c r="A570" s="22">
        <v>41</v>
      </c>
      <c r="B570" s="16" t="s">
        <v>343</v>
      </c>
      <c r="C570" s="111" t="s">
        <v>866</v>
      </c>
      <c r="D570" s="40"/>
      <c r="E570" s="112" t="s">
        <v>1621</v>
      </c>
      <c r="F570" s="40"/>
      <c r="G570" s="41" t="s">
        <v>1622</v>
      </c>
      <c r="H570" s="16" t="s">
        <v>1047</v>
      </c>
      <c r="I570" s="39">
        <v>0.2</v>
      </c>
      <c r="J570" s="16">
        <v>60</v>
      </c>
      <c r="K570" s="82">
        <v>0</v>
      </c>
      <c r="L570" s="47">
        <f t="shared" si="87"/>
        <v>0.324</v>
      </c>
      <c r="M570" s="19">
        <f t="shared" si="95"/>
        <v>0.27</v>
      </c>
      <c r="N570" s="16" t="s">
        <v>1139</v>
      </c>
      <c r="O570" s="16"/>
    </row>
    <row r="571" s="6" customFormat="1" ht="30" customHeight="1" spans="1:15">
      <c r="A571" s="22">
        <v>42</v>
      </c>
      <c r="B571" s="16" t="s">
        <v>343</v>
      </c>
      <c r="C571" s="111" t="s">
        <v>866</v>
      </c>
      <c r="D571" s="40"/>
      <c r="E571" s="112" t="s">
        <v>1623</v>
      </c>
      <c r="F571" s="40"/>
      <c r="G571" s="41" t="s">
        <v>1624</v>
      </c>
      <c r="H571" s="16" t="s">
        <v>1047</v>
      </c>
      <c r="I571" s="39">
        <v>0.2</v>
      </c>
      <c r="J571" s="16">
        <v>60</v>
      </c>
      <c r="K571" s="82">
        <v>0</v>
      </c>
      <c r="L571" s="47">
        <f t="shared" si="87"/>
        <v>0.324</v>
      </c>
      <c r="M571" s="19">
        <f t="shared" si="95"/>
        <v>0.27</v>
      </c>
      <c r="N571" s="16" t="s">
        <v>1139</v>
      </c>
      <c r="O571" s="16"/>
    </row>
    <row r="572" s="6" customFormat="1" ht="30" customHeight="1" spans="1:15">
      <c r="A572" s="22">
        <v>43</v>
      </c>
      <c r="B572" s="16" t="s">
        <v>343</v>
      </c>
      <c r="C572" s="111" t="s">
        <v>866</v>
      </c>
      <c r="D572" s="40"/>
      <c r="E572" s="112" t="s">
        <v>1625</v>
      </c>
      <c r="F572" s="40"/>
      <c r="G572" s="41" t="s">
        <v>1626</v>
      </c>
      <c r="H572" s="16" t="s">
        <v>1047</v>
      </c>
      <c r="I572" s="39">
        <v>0.2</v>
      </c>
      <c r="J572" s="16">
        <v>60</v>
      </c>
      <c r="K572" s="82">
        <v>0</v>
      </c>
      <c r="L572" s="47">
        <f t="shared" si="87"/>
        <v>0.324</v>
      </c>
      <c r="M572" s="19">
        <f t="shared" si="95"/>
        <v>0.27</v>
      </c>
      <c r="N572" s="16" t="s">
        <v>1139</v>
      </c>
      <c r="O572" s="16"/>
    </row>
    <row r="573" s="6" customFormat="1" ht="30" customHeight="1" spans="1:15">
      <c r="A573" s="22">
        <v>44</v>
      </c>
      <c r="B573" s="16" t="s">
        <v>343</v>
      </c>
      <c r="C573" s="111" t="s">
        <v>866</v>
      </c>
      <c r="D573" s="40"/>
      <c r="E573" s="113" t="s">
        <v>1627</v>
      </c>
      <c r="F573" s="40"/>
      <c r="G573" s="40" t="s">
        <v>1628</v>
      </c>
      <c r="H573" s="16" t="s">
        <v>1047</v>
      </c>
      <c r="I573" s="39">
        <v>0.2</v>
      </c>
      <c r="J573" s="16">
        <v>60</v>
      </c>
      <c r="K573" s="82">
        <v>0</v>
      </c>
      <c r="L573" s="47">
        <f t="shared" si="87"/>
        <v>0.324</v>
      </c>
      <c r="M573" s="19">
        <f t="shared" si="95"/>
        <v>0.27</v>
      </c>
      <c r="N573" s="16" t="s">
        <v>1139</v>
      </c>
      <c r="O573" s="16"/>
    </row>
    <row r="574" s="6" customFormat="1" ht="30" customHeight="1" spans="1:15">
      <c r="A574" s="22">
        <v>45</v>
      </c>
      <c r="B574" s="16" t="s">
        <v>343</v>
      </c>
      <c r="C574" s="111" t="s">
        <v>866</v>
      </c>
      <c r="D574" s="40"/>
      <c r="E574" s="113" t="s">
        <v>1629</v>
      </c>
      <c r="F574" s="40"/>
      <c r="G574" s="40" t="s">
        <v>1630</v>
      </c>
      <c r="H574" s="16" t="s">
        <v>1047</v>
      </c>
      <c r="I574" s="39">
        <v>0.2</v>
      </c>
      <c r="J574" s="16">
        <v>60</v>
      </c>
      <c r="K574" s="82">
        <v>0</v>
      </c>
      <c r="L574" s="47">
        <f t="shared" si="87"/>
        <v>0.324</v>
      </c>
      <c r="M574" s="19">
        <f t="shared" si="95"/>
        <v>0.27</v>
      </c>
      <c r="N574" s="16" t="s">
        <v>1139</v>
      </c>
      <c r="O574" s="16"/>
    </row>
    <row r="575" s="6" customFormat="1" ht="30" customHeight="1" spans="1:15">
      <c r="A575" s="22">
        <v>46</v>
      </c>
      <c r="B575" s="16" t="s">
        <v>343</v>
      </c>
      <c r="C575" s="111" t="s">
        <v>866</v>
      </c>
      <c r="D575" s="40"/>
      <c r="E575" s="113" t="s">
        <v>1631</v>
      </c>
      <c r="F575" s="40"/>
      <c r="G575" s="40" t="s">
        <v>1632</v>
      </c>
      <c r="H575" s="16" t="s">
        <v>1047</v>
      </c>
      <c r="I575" s="39">
        <v>0.2</v>
      </c>
      <c r="J575" s="16">
        <v>60</v>
      </c>
      <c r="K575" s="82">
        <v>0</v>
      </c>
      <c r="L575" s="47">
        <f t="shared" si="87"/>
        <v>0.324</v>
      </c>
      <c r="M575" s="19">
        <f t="shared" si="95"/>
        <v>0.27</v>
      </c>
      <c r="N575" s="16" t="s">
        <v>1139</v>
      </c>
      <c r="O575" s="16"/>
    </row>
    <row r="576" s="6" customFormat="1" ht="30" customHeight="1" spans="1:15">
      <c r="A576" s="22">
        <v>47</v>
      </c>
      <c r="B576" s="16" t="s">
        <v>343</v>
      </c>
      <c r="C576" s="111" t="s">
        <v>588</v>
      </c>
      <c r="D576" s="40"/>
      <c r="E576" s="113" t="s">
        <v>1633</v>
      </c>
      <c r="F576" s="40"/>
      <c r="G576" s="40" t="s">
        <v>1634</v>
      </c>
      <c r="H576" s="16" t="s">
        <v>1047</v>
      </c>
      <c r="I576" s="39">
        <v>0.2</v>
      </c>
      <c r="J576" s="16">
        <v>60</v>
      </c>
      <c r="K576" s="82">
        <v>0</v>
      </c>
      <c r="L576" s="47">
        <f t="shared" si="87"/>
        <v>0.324</v>
      </c>
      <c r="M576" s="19">
        <f t="shared" si="95"/>
        <v>0.27</v>
      </c>
      <c r="N576" s="16" t="s">
        <v>1139</v>
      </c>
      <c r="O576" s="16"/>
    </row>
    <row r="577" s="6" customFormat="1" ht="30" customHeight="1" spans="1:15">
      <c r="A577" s="22">
        <v>48</v>
      </c>
      <c r="B577" s="16" t="s">
        <v>343</v>
      </c>
      <c r="C577" s="111" t="s">
        <v>331</v>
      </c>
      <c r="D577" s="40"/>
      <c r="E577" s="113" t="s">
        <v>1635</v>
      </c>
      <c r="F577" s="40"/>
      <c r="G577" s="16" t="s">
        <v>1636</v>
      </c>
      <c r="H577" s="16" t="s">
        <v>1047</v>
      </c>
      <c r="I577" s="39">
        <v>0.2</v>
      </c>
      <c r="J577" s="16">
        <v>60</v>
      </c>
      <c r="K577" s="82">
        <v>0</v>
      </c>
      <c r="L577" s="47">
        <f t="shared" si="87"/>
        <v>0.324</v>
      </c>
      <c r="M577" s="19">
        <f t="shared" si="95"/>
        <v>0.27</v>
      </c>
      <c r="N577" s="16" t="s">
        <v>1139</v>
      </c>
      <c r="O577" s="16"/>
    </row>
    <row r="578" s="6" customFormat="1" ht="30" customHeight="1" spans="1:15">
      <c r="A578" s="22">
        <v>49</v>
      </c>
      <c r="B578" s="16" t="s">
        <v>343</v>
      </c>
      <c r="C578" s="111" t="s">
        <v>1554</v>
      </c>
      <c r="D578" s="40"/>
      <c r="E578" s="113" t="s">
        <v>1637</v>
      </c>
      <c r="F578" s="40"/>
      <c r="G578" s="40" t="s">
        <v>1638</v>
      </c>
      <c r="H578" s="16" t="s">
        <v>1047</v>
      </c>
      <c r="I578" s="39">
        <v>0.2</v>
      </c>
      <c r="J578" s="16">
        <v>60</v>
      </c>
      <c r="K578" s="82">
        <v>18</v>
      </c>
      <c r="L578" s="47">
        <f t="shared" si="87"/>
        <v>0.42</v>
      </c>
      <c r="M578" s="19">
        <f>(J578+K578)*45/10000</f>
        <v>0.35</v>
      </c>
      <c r="N578" s="16" t="s">
        <v>1545</v>
      </c>
      <c r="O578" s="16"/>
    </row>
  </sheetData>
  <autoFilter xmlns:etc="http://www.wps.cn/officeDocument/2017/etCustomData" ref="A4:O578" etc:filterBottomFollowUsedRange="0">
    <extLst/>
  </autoFilter>
  <mergeCells count="29">
    <mergeCell ref="A1:O1"/>
    <mergeCell ref="C2:G2"/>
    <mergeCell ref="A4:G4"/>
    <mergeCell ref="A5:G5"/>
    <mergeCell ref="A25:G25"/>
    <mergeCell ref="A44:G44"/>
    <mergeCell ref="A62:G62"/>
    <mergeCell ref="A81:G81"/>
    <mergeCell ref="A112:G112"/>
    <mergeCell ref="A181:G181"/>
    <mergeCell ref="A226:G226"/>
    <mergeCell ref="A283:G283"/>
    <mergeCell ref="A349:G349"/>
    <mergeCell ref="A406:G406"/>
    <mergeCell ref="A417:G417"/>
    <mergeCell ref="A434:G434"/>
    <mergeCell ref="A506:G506"/>
    <mergeCell ref="A523:G523"/>
    <mergeCell ref="A529:G529"/>
    <mergeCell ref="A2:A3"/>
    <mergeCell ref="B2:B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0.354166666666667" right="0.196527777777778" top="0.472222222222222" bottom="0.511805555555556" header="0.432638888888889" footer="0.27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路面</vt:lpstr>
      <vt:lpstr>桥梁</vt:lpstr>
      <vt:lpstr>隧道</vt:lpstr>
      <vt:lpstr>安全提升</vt:lpstr>
      <vt:lpstr>灾害防治</vt:lpstr>
      <vt:lpstr>灾毁恢复重建</vt:lpstr>
      <vt:lpstr>服务设施</vt:lpstr>
      <vt:lpstr>降速专项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行云流水</cp:lastModifiedBy>
  <dcterms:created xsi:type="dcterms:W3CDTF">2015-06-16T02:19:00Z</dcterms:created>
  <cp:lastPrinted>2024-11-08T09:04:00Z</cp:lastPrinted>
  <dcterms:modified xsi:type="dcterms:W3CDTF">2025-04-01T08:45:46Z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698013EC482EE543801A3367423289BB</vt:lpwstr>
  </property>
</Properties>
</file>