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二批路面养护工程" sheetId="8" r:id="rId1"/>
  </sheets>
  <definedNames>
    <definedName name="_xlnm._FilterDatabase" localSheetId="0" hidden="1">'2024年第二批路面养护工程'!$A$1:$AS$81</definedName>
    <definedName name="_xlnm.Print_Area" localSheetId="0">'2024年第二批路面养护工程'!$A$1:$Z$81</definedName>
    <definedName name="_xlnm.Print_Titles" localSheetId="0">'2024年第二批路面养护工程'!$1:$3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F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与23第二批项目相接，删除800米</t>
        </r>
      </text>
    </comment>
    <comment ref="F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与21年项目接，21年安排中修</t>
        </r>
      </text>
    </comment>
  </commentList>
</comments>
</file>

<file path=xl/sharedStrings.xml><?xml version="1.0" encoding="utf-8"?>
<sst xmlns="http://schemas.openxmlformats.org/spreadsheetml/2006/main" count="863" uniqueCount="350">
  <si>
    <t>2024年赣州市普通国省道路面养护工程第二批入库项目清单</t>
  </si>
  <si>
    <t>序号</t>
  </si>
  <si>
    <t>县（市、区）</t>
  </si>
  <si>
    <t>路线
编号</t>
  </si>
  <si>
    <t>项目名称</t>
  </si>
  <si>
    <t>2022年电子地图桩号</t>
  </si>
  <si>
    <t>路段位置</t>
  </si>
  <si>
    <t>实施里程
（公里）</t>
  </si>
  <si>
    <t>技术
等级</t>
  </si>
  <si>
    <t>路面
宽度</t>
  </si>
  <si>
    <t>原路面
类型</t>
  </si>
  <si>
    <t>原路面结构</t>
  </si>
  <si>
    <t>估算总投资(万元）</t>
  </si>
  <si>
    <t>估算建安费(万元）</t>
  </si>
  <si>
    <t>建设性质（预防性/中修/大修）</t>
  </si>
  <si>
    <t>建议处治方案</t>
  </si>
  <si>
    <t>2023年度PQI值</t>
  </si>
  <si>
    <t>平均日交通量（当量数）</t>
  </si>
  <si>
    <t>平均日交通量（大型客车及中型以上货车）</t>
  </si>
  <si>
    <t>实际路况病害描述（如路面损坏问题、裂缝问题、平整度问题、露骨麻面问题等）</t>
  </si>
  <si>
    <t>上一次计划安排情况</t>
  </si>
  <si>
    <t>升级改造安排情况</t>
  </si>
  <si>
    <t>管养单位</t>
  </si>
  <si>
    <t>备注</t>
  </si>
  <si>
    <t>备注2</t>
  </si>
  <si>
    <t>备注3</t>
  </si>
  <si>
    <t>起点桩号</t>
  </si>
  <si>
    <t>讫点桩号</t>
  </si>
  <si>
    <t>赣州合计</t>
  </si>
  <si>
    <t>合计</t>
  </si>
  <si>
    <t>大修</t>
  </si>
  <si>
    <t>中修</t>
  </si>
  <si>
    <t>预防性</t>
  </si>
  <si>
    <t>第二批建议入库备案项目</t>
  </si>
  <si>
    <t>赣县区</t>
  </si>
  <si>
    <t>G238</t>
  </si>
  <si>
    <t>2024年赣县区G238线路面预防性养护工程</t>
  </si>
  <si>
    <t>江口圩镇路段</t>
  </si>
  <si>
    <t>二级</t>
  </si>
  <si>
    <t>沥青</t>
  </si>
  <si>
    <t>6cm厚中粒式沥青砼下面层+4cm厚细粒式沥青上面层</t>
  </si>
  <si>
    <t>精准处置路面病害，按国评要求处置铣刨路面病害，局部挖补后重新罩面。</t>
  </si>
  <si>
    <t>横向裂缝、纵向裂缝、车辙、坑槽、沉陷</t>
  </si>
  <si>
    <t>2016年灾毁重建</t>
  </si>
  <si>
    <t>赣县分中心</t>
  </si>
  <si>
    <t>建议入库</t>
  </si>
  <si>
    <t>2024年赣县区G238（G323）线路面预防性养护工程</t>
  </si>
  <si>
    <t>江口-陈屋</t>
  </si>
  <si>
    <t>铣刨4cm厚旧沥青砼路面+局部病害挖补+铺筑4cm厚细粒式改性沥青</t>
  </si>
  <si>
    <t>2020年大修</t>
  </si>
  <si>
    <t>（G323 102.268-107.268）</t>
  </si>
  <si>
    <t>S226</t>
  </si>
  <si>
    <t>2024年赣县区S226线路面预防性养护工程</t>
  </si>
  <si>
    <t>寨脑</t>
  </si>
  <si>
    <t>6cm厚中粒式沥青砼下面层+4cm厚细粒式沥青上面层+15cm上基层+15cm下基层</t>
  </si>
  <si>
    <t>铣刨4cm厚旧沥青砼上面层，病害挖补后，重铺4cm厚细粒式改性沥青砼上面层</t>
  </si>
  <si>
    <t>2019年建管养一体化</t>
  </si>
  <si>
    <t>2024年赣县区S226线修复养护路面中修工程</t>
  </si>
  <si>
    <t>王母渡镇圩镇路段</t>
  </si>
  <si>
    <t>铣刨6cm厚中粒式沥青砼下面层+4cm厚细粒式沥青上面层，局部挖补基层后重新铺筑6+4面层</t>
  </si>
  <si>
    <t>2018年灾毁重建</t>
  </si>
  <si>
    <t>兴国县</t>
  </si>
  <si>
    <t>G319</t>
  </si>
  <si>
    <t>2024年兴国县G319线路面预防性养护工程</t>
  </si>
  <si>
    <t>水沟子</t>
  </si>
  <si>
    <t>（4+6）cm沥青混凝土</t>
  </si>
  <si>
    <t>裂缝，麻面，积水，坑槽</t>
  </si>
  <si>
    <t>兴国分中心</t>
  </si>
  <si>
    <t>高兴圩</t>
  </si>
  <si>
    <t>高兴圩-长迳</t>
  </si>
  <si>
    <t>2019年</t>
  </si>
  <si>
    <t>2024年兴国县G238线路面预防性养护工程</t>
  </si>
  <si>
    <t>安置区-崇贤圩入口</t>
  </si>
  <si>
    <t>文溪</t>
  </si>
  <si>
    <t>S449</t>
  </si>
  <si>
    <t>2024年兴国县S449线路面预防性养护工程</t>
  </si>
  <si>
    <t>中田段</t>
  </si>
  <si>
    <t>上犹县</t>
  </si>
  <si>
    <t>G357</t>
  </si>
  <si>
    <t>2024年上犹县G357线路面预防性养护工程</t>
  </si>
  <si>
    <t>东山1-分割点</t>
  </si>
  <si>
    <t>一级</t>
  </si>
  <si>
    <t>18cm水泥稳定下基层+18cm水泥稳定上基层6cmAC-16沥青混凝土下面层+4cmAC-13沥青混凝土上面层</t>
  </si>
  <si>
    <t>路线右幅（上行），铣刨4cm厚沥青砼面层+抗裂+粘层+4cm厚AC-13细粒式沥青混凝土面层</t>
  </si>
  <si>
    <t>上行89.2</t>
  </si>
  <si>
    <t>横向裂缝、纵向裂缝、网裂</t>
  </si>
  <si>
    <t>上犹分中心</t>
  </si>
  <si>
    <t>上行线</t>
  </si>
  <si>
    <t>南康区</t>
  </si>
  <si>
    <t>G323</t>
  </si>
  <si>
    <t>2024年南康区G323线路面预防性养护工程</t>
  </si>
  <si>
    <t>桥口村-新屋里</t>
  </si>
  <si>
    <t>沥青路面</t>
  </si>
  <si>
    <t>16cm厚水泥稳定碎石基层+6cm厚中粒式沥青砼下面层+4cm厚沥青砼细面层+3cm厚细粒式沥青砼上面层</t>
  </si>
  <si>
    <t>铣刨7cm厚旧沥青砼路面+重铺4cm厚细粒式改性沥青砼上面层</t>
  </si>
  <si>
    <t>坑槽 车辙 纵横向裂缝</t>
  </si>
  <si>
    <t>2019年预防性养护，建养一体化预防性。</t>
  </si>
  <si>
    <t>无</t>
  </si>
  <si>
    <t>南康分中心</t>
  </si>
  <si>
    <t>浮石乡入口-浮石乡出口</t>
  </si>
  <si>
    <t>22cm水泥混凝土面板+6cm厚中粒式沥青砼下面层+4cm厚沥青砼细面层</t>
  </si>
  <si>
    <t>圩镇路段，路面加宽，建议增加中央分隔带</t>
  </si>
  <si>
    <t>G105</t>
  </si>
  <si>
    <t>2024年南康区G105线路面预防性养护工程</t>
  </si>
  <si>
    <t>河背-三益</t>
  </si>
  <si>
    <t>15cm厚水泥稳定碎石基层+6cm厚中粒式沥青砼下面层+4cm厚沥青砼细面层+4cm厚细粒式沥青砼上面层</t>
  </si>
  <si>
    <t>铣刨行车道内4cm厚旧沥青砼路面+局部病害挖补+铺筑4cm厚细粒式改性沥青精准处置路面病害，按国评要求处置铣刨路面病害，局部挖补后重新罩面。</t>
  </si>
  <si>
    <t>坑槽 松散 下沉 裂缝</t>
  </si>
  <si>
    <t>2020年中修，南康分中心业主</t>
  </si>
  <si>
    <t>其中2164.8-2164.815为中等路。</t>
  </si>
  <si>
    <t>里子垇-排树下</t>
  </si>
  <si>
    <t>下山桥-大坪里</t>
  </si>
  <si>
    <t>山寨-木梓坳</t>
  </si>
  <si>
    <t>2019年预防性养护，南康分中心业主。</t>
  </si>
  <si>
    <t>坛背-龙东</t>
  </si>
  <si>
    <t>信丰县</t>
  </si>
  <si>
    <t>2024年信丰县G105线路面预防性养护工程</t>
  </si>
  <si>
    <t>下行</t>
  </si>
  <si>
    <t>4cm细粒式改性沥青混凝土上面层(AC-13)+8cm中粒式沥青混凝土下面层(AC-16)+20cm水泥稳定碎石上基层+20cm水泥稳定碎石下基层+20cm级配碎石底基层</t>
  </si>
  <si>
    <t>局部病害挖补处理+铣刨行车道内4cm厚旧沥青砼路面，重铺4cm厚细粒式改性沥青混凝土面层。</t>
  </si>
  <si>
    <t>路面大面积龟裂、裂缝、网裂、坑槽、车辙等,路基下沉</t>
  </si>
  <si>
    <t>2014年升级改造</t>
  </si>
  <si>
    <t>信丰分中心</t>
  </si>
  <si>
    <t>路面宽度8+1+8=17m，路面老化露骨严重，路面横向裂缝，局部纵向裂缝，K2182+062坝上桥左幅大桩号桥头搭板与路面接缝下沉开裂、横向裂缝较宽。建议入库，路面预防性养护处治。</t>
  </si>
  <si>
    <t>中次差路</t>
  </si>
  <si>
    <t>2024年信丰县G105线修复养护路面中修工程</t>
  </si>
  <si>
    <t>上行</t>
  </si>
  <si>
    <t>局部病害挖补处理+铣刨重铺行车道内8+4cm厚上、下面层。</t>
  </si>
  <si>
    <t>2015年升级改造</t>
  </si>
  <si>
    <t>路面横向、纵向裂缝较多局部下沉。建议入库，路面中修处治。</t>
  </si>
  <si>
    <t>路面横向、纵向裂缝较多局部下沉。</t>
  </si>
  <si>
    <t>路面大面积龟裂、裂缝、网裂、坑槽、车辙等</t>
  </si>
  <si>
    <t>路面横向、纵向裂缝，坑槽等病害。</t>
  </si>
  <si>
    <t>长链（e路通无定位），路面横向、纵向裂缝，坑槽等病害。</t>
  </si>
  <si>
    <t>实际路况为较差</t>
  </si>
  <si>
    <t>安远县</t>
  </si>
  <si>
    <t>2024年安远县G238线路面预防性养护工程</t>
  </si>
  <si>
    <t>孔田镇下魏村</t>
  </si>
  <si>
    <t>15cm+15cm水稳层，5cm+4cm沥青混凝土路面</t>
  </si>
  <si>
    <t>铣刨旧沥青路面，局部病害挖补，重铺4cm厚细粒式改沥青砼路面。</t>
  </si>
  <si>
    <t>坑槽、裂缝、网裂、龟裂、下沉、露骨</t>
  </si>
  <si>
    <t>赣州市G238南惠线（原S327寻茅线）大中修工程</t>
  </si>
  <si>
    <t>安远分中心</t>
  </si>
  <si>
    <t>孔田镇下魏村穿圩镇路面，路面整体状况较好，局部下沉、坑槽，缺少纵向排水设施。建议暂缓入库。</t>
  </si>
  <si>
    <t>在部库范围</t>
  </si>
  <si>
    <t>2024年安远县G238线修复养护路面大修工程</t>
  </si>
  <si>
    <t>观音垇-顿界石</t>
  </si>
  <si>
    <t>铣刨旧路面，重铺21cm厚水泥稳定级配碎石基层+8cm厚ATB-25沥青柔性基层+6cm厚中粒式沥青砼下面层+4cm厚细粒式改沥青砼上面层。</t>
  </si>
  <si>
    <t>坑槽、裂缝、麻面、网裂、车辙、翻浆、下沉</t>
  </si>
  <si>
    <t>G238安远观音垇至顿界石路面改造工程</t>
  </si>
  <si>
    <t>路面病害较多，路面出现网裂、横向裂缝较宽并有下沉，坑槽等。建议入库，路面大修处治。</t>
  </si>
  <si>
    <t>2024年安远县G238线修复养护路面中修工程</t>
  </si>
  <si>
    <t>铣刨旧沥青路面，局部病害挖补处治，重新铺筑6cm厚中粒式沥青砼下面层+4cm厚细粒式改性沥青砼上面层。</t>
  </si>
  <si>
    <t>路面病害较多，路面出现网裂、横向裂缝较宽并有下沉，坑槽等。建议入库，路面中修处治。</t>
  </si>
  <si>
    <t>路面局部横向裂缝，建议暂缓入库。</t>
  </si>
  <si>
    <t>定南交界处</t>
  </si>
  <si>
    <t>路面局部横向裂缝，露骨、坑槽。建议入库，路面中修处治。</t>
  </si>
  <si>
    <t>龙布圩镇路段</t>
  </si>
  <si>
    <t>18cm水稳层+5cm沥青碎石</t>
  </si>
  <si>
    <t>铣刨旧沥青路面，局部病害挖补，重铺4cm厚细粒式改沥青砼路面，右加宽车道对原水泥砼路面进行精铣刨后，铺筑4cm厚细粒式改性沥青砼路面</t>
  </si>
  <si>
    <t>露骨、裂缝、车辙、网裂、龟裂</t>
  </si>
  <si>
    <t>2021年赣州市安远县G238线路面应急水毁抢通工程</t>
  </si>
  <si>
    <t>处治桩号已剔除高速路口在2021年进行了“黑改白”路段桩号。路面露骨、横向裂缝、坑槽，建议入库，路面预防性养护处治。</t>
  </si>
  <si>
    <t>2024年安远县G238线路面养护大修工程</t>
  </si>
  <si>
    <t>板石圩镇</t>
  </si>
  <si>
    <t>24cm水稳层+8cm厚ATB+6cm沥青砼下面层+4cm改性沥青砼上面层</t>
  </si>
  <si>
    <t>铣刨旧路面结构层，20cm厚水稳层+24cm厚水泥砼面板。</t>
  </si>
  <si>
    <t>坑槽、车辙、翻浆</t>
  </si>
  <si>
    <t>2020年大修工程（铣刨6cm沥青砼面层+8cm厚ATB+6cm沥青砼下面层+4cm改性沥青砼上面层）</t>
  </si>
  <si>
    <t>平交路口红绿灯处，路面病害较多。建议入库，路面大修“黑改白”处治。</t>
  </si>
  <si>
    <t>2024年信丰县G357线修复养护路面中修工程</t>
  </si>
  <si>
    <t>半迳-营下</t>
  </si>
  <si>
    <t>3cm细粒式改性沥青混凝土上面层(AC-13)+6cm沥青砼下面层+20cm水泥稳定碎石基础层+20cm级配碎石底基层</t>
  </si>
  <si>
    <t>铣刨旧沥青上下面层，病害挖补，病害挖补处治，重新铺筑6cm厚中粒式沥青砼下面层+4cm厚细粒式改性沥青砼上面层</t>
  </si>
  <si>
    <t>2018年赣州市国省道养护大中修工程（信丰境内）G357预防性养护</t>
  </si>
  <si>
    <t>路面病害较多。建议入库，采用中修处治。</t>
  </si>
  <si>
    <t>龙南市</t>
  </si>
  <si>
    <t>2024年龙南市G105线路面预防性养护工程</t>
  </si>
  <si>
    <t>南亨（下行）</t>
  </si>
  <si>
    <t>旧水泥混凝土路面多锤头碎石化+厚15cm水泥稳定碎石下基层+厚15cm水泥稳定碎石上基层+封层+6cmAC-20沥青混凝土下面层+黏层+厚4cmAC-13细粒式改性沥青混凝土上面层</t>
  </si>
  <si>
    <t>铣刨旧沥青路面上面层及局部挖补，+4cm厚细粒式上面层。</t>
  </si>
  <si>
    <t>路面坑槽多、纵横向裂缝、磨损露骨麻面严重、车辙、下沉等病害。</t>
  </si>
  <si>
    <t>“十二五”的项目，2015年底开始大修施工，于2016年8月份通车。</t>
  </si>
  <si>
    <t>暂无</t>
  </si>
  <si>
    <t>龙南分中心</t>
  </si>
  <si>
    <t>2015年大修，路面横向裂缝、局部坑槽。</t>
  </si>
  <si>
    <t>左幅（下行）</t>
  </si>
  <si>
    <t>田丰—田丰（上行）</t>
  </si>
  <si>
    <t>路面横向裂缝、坑槽，局部下沉、唧浆等病害较多。建议入库，路面中修处治。</t>
  </si>
  <si>
    <t>右幅（上行）</t>
  </si>
  <si>
    <t>武当（上行）</t>
  </si>
  <si>
    <t>路面横向裂缝、局部龟裂、下沉。</t>
  </si>
  <si>
    <t>武当（下行）</t>
  </si>
  <si>
    <t>路面横向裂缝、局部坑槽。</t>
  </si>
  <si>
    <t>武当横岗</t>
  </si>
  <si>
    <t>铣刨旧沥青路面上面层及局部挖补病害基层，重铺上面层。</t>
  </si>
  <si>
    <t>79.29~89</t>
  </si>
  <si>
    <t>路面局部坑槽、纵横向裂缝、磨损露骨麻面、车辙、下沉等病害。</t>
  </si>
  <si>
    <t>局部横向反射裂缝、坑槽等病害。</t>
  </si>
  <si>
    <t>全幅</t>
  </si>
  <si>
    <t>2024年龙南市G105线修复养护路面中修工程</t>
  </si>
  <si>
    <t>武当横岗超限站（下行）</t>
  </si>
  <si>
    <t>水泥</t>
  </si>
  <si>
    <t>厚24cm水泥混凝土路面+厚15cm水泥稳定碎石基层+厚20cm级配碎石垫层</t>
  </si>
  <si>
    <t>水泥砼路面打板修复处治，两侧沥青路铣刨旧沥青路面上下面层及局部挖补病害基层，重新铺筑6cm厚中粒式下面层+4cm厚细粒式上面层。</t>
  </si>
  <si>
    <t>水泥路面断板严重，表面露骨。</t>
  </si>
  <si>
    <t>“十二五”的项目，2015年底开始中板打板修复施工，于2016年8月份通车。</t>
  </si>
  <si>
    <t>治超点水泥砼面板，左幅（下行）有地磅，板块露骨、板角断裂、局部碎碎板，前后各50m沥靑路面坑槽、露骨病害。不建议白改黑。建议入库，对病害水泥砼面板进行打板修复，修复两侧过段段沥靑路面，恢复减速标线等。</t>
  </si>
  <si>
    <t>左幅（下行）中次差路</t>
  </si>
  <si>
    <t>定南县</t>
  </si>
  <si>
    <t>S456</t>
  </si>
  <si>
    <t>2024年定南县S456线路面预防性养护工程</t>
  </si>
  <si>
    <t>坝营-迳脑</t>
  </si>
  <si>
    <t>15cm厚水稳下基层+15cm厚水稳上基层+5cm厚沥青砼下面层+4cm沥青砼上面层</t>
  </si>
  <si>
    <t>路面病害进行局部铣刨+4cm厚细粒式改性沥青砼罩面</t>
  </si>
  <si>
    <t>75.76</t>
  </si>
  <si>
    <t>路面纵向裂缝、坑槽</t>
  </si>
  <si>
    <t>定南分中心</t>
  </si>
  <si>
    <t>迳脑圩，路面出现下沉、龟裂等较多病害。建议中修处治。</t>
  </si>
  <si>
    <t>82.7</t>
  </si>
  <si>
    <t>车辙、网裂</t>
  </si>
  <si>
    <t>2021预防性养护</t>
  </si>
  <si>
    <t>路面局部坑槽、裂缝病害。</t>
  </si>
  <si>
    <t>宁都县</t>
  </si>
  <si>
    <t>G236</t>
  </si>
  <si>
    <t>2024年宁都县G236线路面中修工程</t>
  </si>
  <si>
    <t>法沙段</t>
  </si>
  <si>
    <t xml:space="preserve"> 二级</t>
  </si>
  <si>
    <t>15+15cm水泥稳定碎石基层+（6+4）cm沥青混凝土面层</t>
  </si>
  <si>
    <t>路面病害局部挖补，加铺5cm厚AC-16细粒式改性沥青砼路面。（建议局部路段病害挖补，挖补量不超过30%，铣刨路面上面层后，抗裂贴修补后重铺4cm厚AC-13细粒式上面层）（挖补量如过大，不建议处置本路段）</t>
  </si>
  <si>
    <t>路面裂缝，存在跳车现象</t>
  </si>
  <si>
    <t>宁都分中心</t>
  </si>
  <si>
    <t>建议列入计划处置</t>
  </si>
  <si>
    <t>2024年宁都县G319线路面预防性养护工程</t>
  </si>
  <si>
    <t>大富段</t>
  </si>
  <si>
    <t>路面病害局部挖补，加铺3cm厚AC-13细粒式改性沥青砼路面。</t>
  </si>
  <si>
    <t>路面裂缝，车辙</t>
  </si>
  <si>
    <t>赖村段</t>
  </si>
  <si>
    <t>路面横、纵向裂缝</t>
  </si>
  <si>
    <t>石城县</t>
  </si>
  <si>
    <t>G206</t>
  </si>
  <si>
    <t>2024年石城县G206国道预防性养护工程（备选项目）</t>
  </si>
  <si>
    <t>梨壁型</t>
  </si>
  <si>
    <t>垫层20cm厚+20cm水泥稳定碎石基层+6cm厚AC-160C中粒沥青砼下面层+4cmAC-13C厚细粒式上面层</t>
  </si>
  <si>
    <t>局部病害挖补，裂缝处设置抗裂贴，加铺3cm厚AC-13C细粒式改性沥青砼面层</t>
  </si>
  <si>
    <t>裂缝</t>
  </si>
  <si>
    <t>2017养护中修</t>
  </si>
  <si>
    <t>石城分中心</t>
  </si>
  <si>
    <t>建议处置，采用3CM厚预防性养护罩面处置。</t>
  </si>
  <si>
    <t>垫层20cm+20cm厚水泥稳定碎石基层+6cm厚AC-160C中粒沥青砼下面层+4cmAC-13C厚细粒式上面层</t>
  </si>
  <si>
    <t>垫层20cm厚+水泥稳定碎石基层+6cm厚AC-160C中粒沥青砼下面层+4cmAC-13C厚细粒式上面层</t>
  </si>
  <si>
    <t>小松段</t>
  </si>
  <si>
    <t>瑞金市</t>
  </si>
  <si>
    <t>2024年瑞金市G206线预防性养护工程</t>
  </si>
  <si>
    <t>日东水庙-罗汉岩路口</t>
  </si>
  <si>
    <t>一级路</t>
  </si>
  <si>
    <t>11.5(右幅）</t>
  </si>
  <si>
    <t>（4+6）沥青砼面层+8cm沥青碎石上基层+17cm水稳中基层+18水稳下基层</t>
  </si>
  <si>
    <t>铣刨右幅外侧3.5m车道4cm沥青面层后，裂缝处贴抗裂贴处理，重铺4cm细粒式沥青混凝土</t>
  </si>
  <si>
    <t>右幅外侧车道横纵向裂缝较多</t>
  </si>
  <si>
    <t>2016安排升级改造工程</t>
  </si>
  <si>
    <t>瑞金分中心</t>
  </si>
  <si>
    <t>K1957-K1958右幅路段PCI为86.05，K1958-K1958.8右幅路段PCI为89.25，现场病害比较集中，符合实施预防性养护的标准</t>
  </si>
  <si>
    <t>建议处置病害严重的单幅和精准位置病害</t>
  </si>
  <si>
    <t>罗汉岩景区-瑞金东高速口</t>
  </si>
  <si>
    <t>（4+5+7）沥青砼面层+18cm水稳上基层+20cm水稳下基层</t>
  </si>
  <si>
    <t>铣刨右幅11m车道4cm沥青面层后，裂缝处贴抗裂贴处理，重铺4cm细粒式沥青混凝土</t>
  </si>
  <si>
    <t>右幅内侧车道横纵向裂缝较多，中间及外侧车道横缝贯通</t>
  </si>
  <si>
    <t>K1973-K1974右幅路段PCI为88.87，现场病害比较集中，符合实施预防性养护的标准</t>
  </si>
  <si>
    <t>11.5(左幅）</t>
  </si>
  <si>
    <t>铣刨左幅内侧及中间7m车道4cm沥青面层后，裂缝处贴抗裂贴处理，重铺4cm细粒式沥青混凝土</t>
  </si>
  <si>
    <t>左幅内侧及中间车道横纵向裂缝、车辙等病害较多</t>
  </si>
  <si>
    <t>K1972.6-K1974.940左幅路段PCI为85.89，现场病害比较集中，符合实施预防性养护的标准</t>
  </si>
  <si>
    <t>会昌县</t>
  </si>
  <si>
    <t>2024年会昌县G357预防性养护工程（第一段为备选项目）</t>
  </si>
  <si>
    <t>会昌县长岭乡</t>
  </si>
  <si>
    <t>4cm+6cm沥青砼</t>
  </si>
  <si>
    <t>铣刨4cm原路面上面层+罩面4cmn改性沥青砼上面层处置，局部挖补</t>
  </si>
  <si>
    <t>裂缝、露骨、麻面</t>
  </si>
  <si>
    <t>会昌分中心</t>
  </si>
  <si>
    <t>备选路段</t>
  </si>
  <si>
    <t>建议处置，采用3CM厚预防性养护罩面处置，护栏加高套筒设置。</t>
  </si>
  <si>
    <t>会昌县右水乡</t>
  </si>
  <si>
    <t>6cm罩面+4cm+6cm沥青砼</t>
  </si>
  <si>
    <t>裂缝、露骨严重、麻面</t>
  </si>
  <si>
    <t>于都县</t>
  </si>
  <si>
    <t>S453</t>
  </si>
  <si>
    <t>2024年于都县S453线路面预防性养护工程</t>
  </si>
  <si>
    <t>利村</t>
  </si>
  <si>
    <t>三级公路</t>
  </si>
  <si>
    <t>6cmAC-16C 中粒式沥青混凝土面层+17cm+18cm水泥稳定基层</t>
  </si>
  <si>
    <t>局部病害挖补，加铺3cm厚AC-13细粒式改性沥青砼面层。</t>
  </si>
  <si>
    <t>裂缝、车辙
左幅病害严重（实际路况为中度露骨）</t>
  </si>
  <si>
    <t>2019年大修</t>
  </si>
  <si>
    <t>于都分中心</t>
  </si>
  <si>
    <t>建议处置，有条件全幅加高3cm厚预防性养护，延长使用期限）</t>
  </si>
  <si>
    <t>2024年会昌县G206预防性养护工程</t>
  </si>
  <si>
    <t>会昌县筠门岭镇</t>
  </si>
  <si>
    <t>4cm+5cm沥青砼</t>
  </si>
  <si>
    <t>铣刨4cm厚旧沥青上面层+局部病害挖补+重铺4cm厚细粒式改性沥青砼面层。</t>
  </si>
  <si>
    <t>大余县</t>
  </si>
  <si>
    <t>2024年大余县G323预防性养护工程</t>
  </si>
  <si>
    <t>赤石-新城街道</t>
  </si>
  <si>
    <t>大余分中心</t>
  </si>
  <si>
    <t>新增入库</t>
  </si>
  <si>
    <t>S219</t>
  </si>
  <si>
    <t>2024年兴国县S219线路面修复养护路面中修工程</t>
  </si>
  <si>
    <t>兴莲-新开岭</t>
  </si>
  <si>
    <t>三级</t>
  </si>
  <si>
    <t>水泥路面</t>
  </si>
  <si>
    <t>22cm水泥面板</t>
  </si>
  <si>
    <t>1.5cm厚橡胶应力吸收层+6cm厚中粒式AC16沥青砼面层</t>
  </si>
  <si>
    <t>部分路面板块断角，蹦边</t>
  </si>
  <si>
    <t>2020年打板</t>
  </si>
  <si>
    <t>现场核查后入库</t>
  </si>
  <si>
    <t>匹配部库需安排项目</t>
  </si>
  <si>
    <t>2024年瑞金市G319线预防性养护工程</t>
  </si>
  <si>
    <t>石井至隘岭</t>
  </si>
  <si>
    <t>沥青砼</t>
  </si>
  <si>
    <t>6+3</t>
  </si>
  <si>
    <t>精准化处置路面病害，局部路段铣刨重铺3cm厚上面层</t>
  </si>
  <si>
    <t>轻微病害</t>
  </si>
  <si>
    <t>2023年国评处置</t>
  </si>
  <si>
    <t>可以匹配，控制规模</t>
  </si>
  <si>
    <t>寻乌县</t>
  </si>
  <si>
    <t>G358</t>
  </si>
  <si>
    <t>2024年寻乌县G358预防性养护工程</t>
  </si>
  <si>
    <t>大塘坪至蓑衣坳</t>
  </si>
  <si>
    <t>6+4</t>
  </si>
  <si>
    <t>精准化处置路面病害，局部路段铣刨重铺4cm厚上面层</t>
  </si>
  <si>
    <t>寻乌分中心</t>
  </si>
  <si>
    <t>G535</t>
  </si>
  <si>
    <t>2024年龙南市G535线预防性养护工程</t>
  </si>
  <si>
    <t>老圩头至树坳</t>
  </si>
  <si>
    <t>15+15+6+4</t>
  </si>
  <si>
    <t>纵向、横向裂缝</t>
  </si>
  <si>
    <t>养护成效考核需安排项目（次差路）</t>
  </si>
  <si>
    <t>S543</t>
  </si>
  <si>
    <t>2024年于都县S543线预防性养护工程</t>
  </si>
  <si>
    <t>牛形坝-安背</t>
  </si>
  <si>
    <t>四级公路</t>
  </si>
  <si>
    <t>20cm水泥混凝土</t>
  </si>
  <si>
    <t>局部挖除原水泥路面+重铺20cm水泥路面+2cm调平层，换板数量约计1500㎡</t>
  </si>
  <si>
    <t>破碎、下沉、裂缝</t>
  </si>
  <si>
    <t>崇义县</t>
  </si>
  <si>
    <t>S316</t>
  </si>
  <si>
    <t>2024年崇义县S316线预防性养护工程</t>
  </si>
  <si>
    <t>白枧坳</t>
  </si>
  <si>
    <t>局部挖除原水泥路面+重铺20cm水泥路面+2cm调平层，换板数量约计500㎡</t>
  </si>
  <si>
    <t>崇义分中心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</si>
</sst>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;[Red]\-0.000\ "/>
    <numFmt numFmtId="177" formatCode="0.000"/>
    <numFmt numFmtId="178" formatCode="0.000_ "/>
    <numFmt numFmtId="179" formatCode="000000"/>
    <numFmt numFmtId="180" formatCode="0.00_ "/>
    <numFmt numFmtId="181" formatCode="0.0_ "/>
    <numFmt numFmtId="182" formatCode="0_ ;[Red]\-0\ "/>
    <numFmt numFmtId="183" formatCode="#,##0_ "/>
    <numFmt numFmtId="184" formatCode="0.0"/>
    <numFmt numFmtId="185" formatCode="0_ "/>
    <numFmt numFmtId="186" formatCode="#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0" fontId="16" fillId="5" borderId="30" applyNumberFormat="0" applyAlignment="0" applyProtection="0">
      <alignment vertical="center"/>
    </xf>
    <xf numFmtId="0" fontId="17" fillId="5" borderId="29" applyNumberFormat="0" applyAlignment="0" applyProtection="0">
      <alignment vertical="center"/>
    </xf>
    <xf numFmtId="0" fontId="18" fillId="6" borderId="31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>
      <alignment vertical="center"/>
    </xf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5" xfId="53" applyNumberFormat="1" applyFont="1" applyFill="1" applyBorder="1" applyAlignment="1">
      <alignment horizontal="center" vertical="center" wrapText="1"/>
    </xf>
    <xf numFmtId="176" fontId="5" fillId="0" borderId="5" xfId="49" applyNumberFormat="1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7" xfId="49" applyNumberFormat="1" applyFont="1" applyBorder="1" applyAlignment="1">
      <alignment horizontal="center" vertical="center" wrapText="1"/>
    </xf>
    <xf numFmtId="176" fontId="5" fillId="0" borderId="3" xfId="53" applyNumberFormat="1" applyFont="1" applyFill="1" applyBorder="1" applyAlignment="1">
      <alignment horizontal="center" vertical="center" wrapText="1"/>
    </xf>
    <xf numFmtId="176" fontId="5" fillId="0" borderId="3" xfId="49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49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13" xfId="49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9" fontId="2" fillId="0" borderId="5" xfId="0" applyNumberFormat="1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 wrapText="1"/>
    </xf>
    <xf numFmtId="182" fontId="5" fillId="0" borderId="3" xfId="0" applyNumberFormat="1" applyFont="1" applyBorder="1" applyAlignment="1">
      <alignment horizontal="center" vertical="center" wrapText="1"/>
    </xf>
    <xf numFmtId="181" fontId="5" fillId="0" borderId="5" xfId="0" applyNumberFormat="1" applyFont="1" applyBorder="1" applyAlignment="1">
      <alignment horizontal="center" vertical="center" wrapText="1"/>
    </xf>
    <xf numFmtId="182" fontId="5" fillId="0" borderId="5" xfId="0" applyNumberFormat="1" applyFont="1" applyBorder="1" applyAlignment="1">
      <alignment horizontal="center" vertical="center" wrapText="1"/>
    </xf>
    <xf numFmtId="181" fontId="5" fillId="0" borderId="7" xfId="0" applyNumberFormat="1" applyFont="1" applyBorder="1" applyAlignment="1">
      <alignment horizontal="center" vertical="center" wrapText="1"/>
    </xf>
    <xf numFmtId="181" fontId="5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81" fontId="5" fillId="0" borderId="13" xfId="0" applyNumberFormat="1" applyFont="1" applyBorder="1" applyAlignment="1">
      <alignment horizontal="center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183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84" fontId="2" fillId="0" borderId="5" xfId="0" applyNumberFormat="1" applyFont="1" applyBorder="1" applyAlignment="1">
      <alignment horizontal="center" vertical="center" wrapText="1"/>
    </xf>
    <xf numFmtId="181" fontId="2" fillId="0" borderId="5" xfId="0" applyNumberFormat="1" applyFont="1" applyBorder="1" applyAlignment="1">
      <alignment horizontal="center" vertical="center" wrapText="1"/>
    </xf>
    <xf numFmtId="185" fontId="2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86" fontId="2" fillId="0" borderId="5" xfId="0" applyNumberFormat="1" applyFont="1" applyBorder="1" applyAlignment="1">
      <alignment horizontal="center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80" fontId="2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5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 2 4" xfId="50"/>
    <cellStyle name="常规 3" xfId="51"/>
    <cellStyle name="常规 4" xfId="52"/>
    <cellStyle name="常规_宜春养护工程项目情况表" xfId="53"/>
  </cellStyles>
  <tableStyles count="0" defaultTableStyle="TableStyleMedium2" defaultPivotStyle="PivotStyleLight16"/>
  <colors>
    <mruColors>
      <color rgb="00FF0000"/>
      <color rgb="00FFFF00"/>
      <color rgb="00FFFFFF"/>
      <color rgb="00D7EEBF"/>
      <color rgb="00DFF1CB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81"/>
  <sheetViews>
    <sheetView tabSelected="1" zoomScale="70" zoomScaleNormal="70" workbookViewId="0">
      <selection activeCell="M4" sqref="M4"/>
    </sheetView>
  </sheetViews>
  <sheetFormatPr defaultColWidth="9" defaultRowHeight="13.5"/>
  <cols>
    <col min="1" max="1" width="5" style="6" customWidth="1"/>
    <col min="2" max="2" width="9.25" style="6" customWidth="1"/>
    <col min="3" max="3" width="8.375" style="6" customWidth="1"/>
    <col min="4" max="4" width="23.125" style="6" customWidth="1"/>
    <col min="5" max="6" width="10" style="6" customWidth="1"/>
    <col min="7" max="7" width="10.5" style="6" customWidth="1"/>
    <col min="8" max="8" width="14.125" style="6" customWidth="1"/>
    <col min="9" max="9" width="10" style="6" customWidth="1"/>
    <col min="10" max="10" width="8.25" style="6" customWidth="1"/>
    <col min="11" max="11" width="6.75" style="6" customWidth="1"/>
    <col min="12" max="12" width="13.875" style="7" customWidth="1"/>
    <col min="13" max="14" width="12" style="6" customWidth="1"/>
    <col min="15" max="15" width="9.625" style="6" customWidth="1"/>
    <col min="16" max="16" width="38.125" style="6" customWidth="1"/>
    <col min="17" max="17" width="12.25" style="6" customWidth="1"/>
    <col min="18" max="19" width="9.375" style="6" customWidth="1"/>
    <col min="20" max="20" width="14.375" style="6" customWidth="1"/>
    <col min="21" max="21" width="12.5" style="6" customWidth="1"/>
    <col min="22" max="22" width="9.375" style="6" customWidth="1"/>
    <col min="23" max="23" width="12.25" style="6" customWidth="1"/>
    <col min="24" max="24" width="20.75" style="6" customWidth="1"/>
    <col min="25" max="25" width="12.125" style="6" customWidth="1"/>
    <col min="26" max="26" width="9.875" style="6" customWidth="1"/>
    <col min="27" max="16384" width="9" style="6"/>
  </cols>
  <sheetData>
    <row r="1" s="1" customFormat="1" ht="44.25" customHeight="1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2" customFormat="1" ht="65.1" customHeight="1" spans="1:26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 t="s">
        <v>6</v>
      </c>
      <c r="H2" s="11" t="s">
        <v>7</v>
      </c>
      <c r="I2" s="10" t="s">
        <v>8</v>
      </c>
      <c r="J2" s="52" t="s">
        <v>9</v>
      </c>
      <c r="K2" s="10" t="s">
        <v>10</v>
      </c>
      <c r="L2" s="10" t="s">
        <v>11</v>
      </c>
      <c r="M2" s="53" t="s">
        <v>12</v>
      </c>
      <c r="N2" s="53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66" t="s">
        <v>23</v>
      </c>
      <c r="Y2" s="66" t="s">
        <v>24</v>
      </c>
      <c r="Z2" s="75" t="s">
        <v>25</v>
      </c>
    </row>
    <row r="3" s="2" customFormat="1" ht="65.1" customHeight="1" spans="1:26">
      <c r="A3" s="12"/>
      <c r="B3" s="13"/>
      <c r="C3" s="13"/>
      <c r="D3" s="13"/>
      <c r="E3" s="14" t="s">
        <v>26</v>
      </c>
      <c r="F3" s="14" t="s">
        <v>27</v>
      </c>
      <c r="G3" s="14"/>
      <c r="H3" s="14"/>
      <c r="I3" s="13"/>
      <c r="J3" s="54"/>
      <c r="K3" s="13"/>
      <c r="L3" s="13"/>
      <c r="M3" s="55"/>
      <c r="N3" s="55"/>
      <c r="O3" s="13"/>
      <c r="P3" s="13"/>
      <c r="Q3" s="13"/>
      <c r="R3" s="13"/>
      <c r="S3" s="13"/>
      <c r="T3" s="13"/>
      <c r="U3" s="13"/>
      <c r="V3" s="13"/>
      <c r="W3" s="13"/>
      <c r="X3" s="67"/>
      <c r="Y3" s="67"/>
      <c r="Z3" s="76"/>
    </row>
    <row r="4" s="2" customFormat="1" ht="25.5" customHeight="1" spans="1:26">
      <c r="A4" s="12" t="s">
        <v>28</v>
      </c>
      <c r="B4" s="13"/>
      <c r="C4" s="13"/>
      <c r="D4" s="15" t="s">
        <v>29</v>
      </c>
      <c r="E4" s="14"/>
      <c r="F4" s="14"/>
      <c r="G4" s="14"/>
      <c r="H4" s="16">
        <f>H5+H6+H7</f>
        <v>153.861</v>
      </c>
      <c r="I4" s="13"/>
      <c r="J4" s="54"/>
      <c r="K4" s="13"/>
      <c r="L4" s="13"/>
      <c r="M4" s="16">
        <f>M5+M6+M7</f>
        <v>12797.502</v>
      </c>
      <c r="N4" s="16">
        <f>N5+N6+N7</f>
        <v>11216.284</v>
      </c>
      <c r="O4" s="13"/>
      <c r="P4" s="13"/>
      <c r="Q4" s="13"/>
      <c r="R4" s="13"/>
      <c r="S4" s="13"/>
      <c r="T4" s="13"/>
      <c r="U4" s="13"/>
      <c r="V4" s="13"/>
      <c r="W4" s="13"/>
      <c r="X4" s="67"/>
      <c r="Y4" s="39"/>
      <c r="Z4" s="77"/>
    </row>
    <row r="5" s="2" customFormat="1" ht="25.5" customHeight="1" spans="1:26">
      <c r="A5" s="12"/>
      <c r="B5" s="13"/>
      <c r="C5" s="13"/>
      <c r="D5" s="17" t="s">
        <v>30</v>
      </c>
      <c r="E5" s="14"/>
      <c r="F5" s="14"/>
      <c r="G5" s="14"/>
      <c r="H5" s="16">
        <f>SUMIF(O13:O234,"大修",H13:H234)</f>
        <v>2.499</v>
      </c>
      <c r="I5" s="13"/>
      <c r="J5" s="54"/>
      <c r="K5" s="13"/>
      <c r="L5" s="13"/>
      <c r="M5" s="16">
        <f>SUMIF(O13:O165,"大修",M13:M165)</f>
        <v>950</v>
      </c>
      <c r="N5" s="16">
        <f>SUMIF(O13:O180,"大修",N13:N180)</f>
        <v>826</v>
      </c>
      <c r="O5" s="13"/>
      <c r="P5" s="13"/>
      <c r="Q5" s="13"/>
      <c r="R5" s="13"/>
      <c r="S5" s="13"/>
      <c r="T5" s="13"/>
      <c r="U5" s="13"/>
      <c r="V5" s="13"/>
      <c r="W5" s="13"/>
      <c r="X5" s="67"/>
      <c r="Y5" s="39"/>
      <c r="Z5" s="77"/>
    </row>
    <row r="6" s="2" customFormat="1" ht="25.5" customHeight="1" spans="1:26">
      <c r="A6" s="12"/>
      <c r="B6" s="13"/>
      <c r="C6" s="13"/>
      <c r="D6" s="17" t="s">
        <v>31</v>
      </c>
      <c r="E6" s="14"/>
      <c r="F6" s="14"/>
      <c r="G6" s="14"/>
      <c r="H6" s="16">
        <f>SUMIF(O13:O234,"中修",H13:H234)</f>
        <v>30.591</v>
      </c>
      <c r="I6" s="13"/>
      <c r="J6" s="54"/>
      <c r="K6" s="13"/>
      <c r="L6" s="13"/>
      <c r="M6" s="16">
        <f>SUMIF(O13:O165,"中修",M13:M165)</f>
        <v>4309.49</v>
      </c>
      <c r="N6" s="16">
        <f>SUMIF(O13:O180,"中修",N13:N180)</f>
        <v>3761.419</v>
      </c>
      <c r="O6" s="13"/>
      <c r="P6" s="13"/>
      <c r="Q6" s="13"/>
      <c r="R6" s="13"/>
      <c r="S6" s="13"/>
      <c r="T6" s="13"/>
      <c r="U6" s="13"/>
      <c r="V6" s="13"/>
      <c r="W6" s="13"/>
      <c r="X6" s="67"/>
      <c r="Y6" s="39"/>
      <c r="Z6" s="77"/>
    </row>
    <row r="7" s="2" customFormat="1" ht="25.5" customHeight="1" spans="1:26">
      <c r="A7" s="18"/>
      <c r="B7" s="19"/>
      <c r="C7" s="19"/>
      <c r="D7" s="20" t="s">
        <v>32</v>
      </c>
      <c r="E7" s="21"/>
      <c r="F7" s="21"/>
      <c r="G7" s="21"/>
      <c r="H7" s="22">
        <f>SUMIF(O13:O234,"预防性",H13:H234)</f>
        <v>120.771</v>
      </c>
      <c r="I7" s="19"/>
      <c r="J7" s="56"/>
      <c r="K7" s="19"/>
      <c r="L7" s="19"/>
      <c r="M7" s="22">
        <f>SUMIF(O13:O234,"预防性",M13:M234)</f>
        <v>7538.012</v>
      </c>
      <c r="N7" s="22">
        <f>SUMIF(O13:O234,"预防性",N13:N234)</f>
        <v>6628.865</v>
      </c>
      <c r="O7" s="19"/>
      <c r="P7" s="19"/>
      <c r="Q7" s="19"/>
      <c r="R7" s="19"/>
      <c r="S7" s="19"/>
      <c r="T7" s="19"/>
      <c r="U7" s="19"/>
      <c r="V7" s="19"/>
      <c r="W7" s="19"/>
      <c r="X7" s="68"/>
      <c r="Y7" s="78"/>
      <c r="Z7" s="79"/>
    </row>
    <row r="8" s="2" customFormat="1" ht="25.5" customHeight="1" spans="1:26">
      <c r="A8" s="9" t="s">
        <v>33</v>
      </c>
      <c r="B8" s="10"/>
      <c r="C8" s="10"/>
      <c r="D8" s="23" t="s">
        <v>29</v>
      </c>
      <c r="E8" s="11"/>
      <c r="F8" s="11"/>
      <c r="G8" s="11"/>
      <c r="H8" s="24">
        <f>H9+H10+H11</f>
        <v>153.861</v>
      </c>
      <c r="I8" s="10"/>
      <c r="J8" s="52"/>
      <c r="K8" s="10"/>
      <c r="L8" s="10"/>
      <c r="M8" s="24">
        <f>M9+M10+M11</f>
        <v>12797.502</v>
      </c>
      <c r="N8" s="24">
        <f>N9+N10+N11</f>
        <v>11216.284</v>
      </c>
      <c r="O8" s="10"/>
      <c r="P8" s="10"/>
      <c r="Q8" s="10"/>
      <c r="R8" s="10"/>
      <c r="S8" s="10"/>
      <c r="T8" s="10"/>
      <c r="U8" s="10"/>
      <c r="V8" s="10"/>
      <c r="W8" s="10"/>
      <c r="X8" s="66"/>
      <c r="Y8" s="71"/>
      <c r="Z8" s="80"/>
    </row>
    <row r="9" s="2" customFormat="1" ht="25.5" customHeight="1" spans="1:26">
      <c r="A9" s="12"/>
      <c r="B9" s="13"/>
      <c r="C9" s="13"/>
      <c r="D9" s="17" t="s">
        <v>30</v>
      </c>
      <c r="E9" s="14"/>
      <c r="F9" s="14"/>
      <c r="G9" s="14"/>
      <c r="H9" s="16">
        <f>SUMIF(O13:O81,"大修",H13:H81)</f>
        <v>2.499</v>
      </c>
      <c r="I9" s="13"/>
      <c r="J9" s="54"/>
      <c r="K9" s="13"/>
      <c r="L9" s="13"/>
      <c r="M9" s="16">
        <f>SUMIF(O13:O81,"大修",M13:M81)</f>
        <v>950</v>
      </c>
      <c r="N9" s="16">
        <f>SUMIF(O13:O81,"大修",N13:N81)</f>
        <v>826</v>
      </c>
      <c r="O9" s="13"/>
      <c r="P9" s="13"/>
      <c r="Q9" s="13"/>
      <c r="R9" s="13"/>
      <c r="S9" s="13"/>
      <c r="T9" s="13"/>
      <c r="U9" s="13"/>
      <c r="V9" s="13"/>
      <c r="W9" s="13"/>
      <c r="X9" s="67"/>
      <c r="Y9" s="39"/>
      <c r="Z9" s="77"/>
    </row>
    <row r="10" s="2" customFormat="1" ht="25.5" customHeight="1" spans="1:26">
      <c r="A10" s="12"/>
      <c r="B10" s="13"/>
      <c r="C10" s="13"/>
      <c r="D10" s="17" t="s">
        <v>31</v>
      </c>
      <c r="E10" s="14"/>
      <c r="F10" s="14"/>
      <c r="G10" s="14"/>
      <c r="H10" s="16">
        <f>SUMIF(O13:O81,"中修",H13:H81)</f>
        <v>30.591</v>
      </c>
      <c r="I10" s="13"/>
      <c r="J10" s="54"/>
      <c r="K10" s="13"/>
      <c r="L10" s="13"/>
      <c r="M10" s="16">
        <f>SUMIF(O13:O81,"中修",M13:M81)</f>
        <v>4309.49</v>
      </c>
      <c r="N10" s="16">
        <f>SUMIF(O13:O81,"中修",N13:N81)</f>
        <v>3761.419</v>
      </c>
      <c r="O10" s="13"/>
      <c r="P10" s="13"/>
      <c r="Q10" s="13"/>
      <c r="R10" s="13"/>
      <c r="S10" s="13"/>
      <c r="T10" s="13"/>
      <c r="U10" s="13"/>
      <c r="V10" s="13"/>
      <c r="W10" s="13"/>
      <c r="X10" s="67"/>
      <c r="Y10" s="39"/>
      <c r="Z10" s="77"/>
    </row>
    <row r="11" s="2" customFormat="1" ht="25.5" customHeight="1" spans="1:26">
      <c r="A11" s="25"/>
      <c r="B11" s="26"/>
      <c r="C11" s="26"/>
      <c r="D11" s="27" t="s">
        <v>32</v>
      </c>
      <c r="E11" s="28"/>
      <c r="F11" s="28"/>
      <c r="G11" s="28"/>
      <c r="H11" s="29">
        <f>SUMIF(O13:O81,"预防性",H13:H81)</f>
        <v>120.771</v>
      </c>
      <c r="I11" s="26"/>
      <c r="J11" s="57"/>
      <c r="K11" s="26"/>
      <c r="L11" s="26"/>
      <c r="M11" s="29">
        <f>SUMIF(O13:O81,"预防性",M13:M81)</f>
        <v>7538.012</v>
      </c>
      <c r="N11" s="29">
        <f>SUMIF(O13:O81,"预防性",N13:N81)</f>
        <v>6628.865</v>
      </c>
      <c r="O11" s="26"/>
      <c r="P11" s="26"/>
      <c r="Q11" s="26"/>
      <c r="R11" s="26"/>
      <c r="S11" s="26"/>
      <c r="T11" s="26"/>
      <c r="U11" s="26"/>
      <c r="V11" s="26"/>
      <c r="W11" s="26"/>
      <c r="X11" s="69"/>
      <c r="Y11" s="81"/>
      <c r="Z11" s="82"/>
    </row>
    <row r="12" s="2" customFormat="1" ht="45" customHeight="1" spans="1:26">
      <c r="A12" s="30" t="s">
        <v>33</v>
      </c>
      <c r="B12" s="31"/>
      <c r="C12" s="31"/>
      <c r="D12" s="32"/>
      <c r="E12" s="33"/>
      <c r="F12" s="33"/>
      <c r="G12" s="33"/>
      <c r="H12" s="34"/>
      <c r="I12" s="58"/>
      <c r="J12" s="59"/>
      <c r="K12" s="58"/>
      <c r="L12" s="58"/>
      <c r="M12" s="34"/>
      <c r="N12" s="34"/>
      <c r="O12" s="58"/>
      <c r="P12" s="58"/>
      <c r="Q12" s="58"/>
      <c r="R12" s="58"/>
      <c r="S12" s="58"/>
      <c r="T12" s="58"/>
      <c r="U12" s="58"/>
      <c r="V12" s="58"/>
      <c r="W12" s="58"/>
      <c r="X12" s="70"/>
      <c r="Y12" s="83"/>
      <c r="Z12" s="84"/>
    </row>
    <row r="13" s="2" customFormat="1" ht="69.95" customHeight="1" spans="1:26">
      <c r="A13" s="35">
        <v>1</v>
      </c>
      <c r="B13" s="36" t="s">
        <v>34</v>
      </c>
      <c r="C13" s="36" t="s">
        <v>35</v>
      </c>
      <c r="D13" s="36" t="s">
        <v>36</v>
      </c>
      <c r="E13" s="36">
        <v>388.362</v>
      </c>
      <c r="F13" s="36">
        <v>389.956</v>
      </c>
      <c r="G13" s="36" t="s">
        <v>37</v>
      </c>
      <c r="H13" s="36">
        <f t="shared" ref="H13:H74" si="0">F13-E13</f>
        <v>1.59399999999999</v>
      </c>
      <c r="I13" s="36" t="s">
        <v>38</v>
      </c>
      <c r="J13" s="36">
        <v>12</v>
      </c>
      <c r="K13" s="36" t="s">
        <v>39</v>
      </c>
      <c r="L13" s="36" t="s">
        <v>40</v>
      </c>
      <c r="M13" s="36">
        <f>H13*80</f>
        <v>127.519999999999</v>
      </c>
      <c r="N13" s="36">
        <f t="shared" ref="N13:N31" si="1">M13*0.87</f>
        <v>110.942399999999</v>
      </c>
      <c r="O13" s="36" t="s">
        <v>32</v>
      </c>
      <c r="P13" s="36" t="s">
        <v>41</v>
      </c>
      <c r="Q13" s="36">
        <v>94.39</v>
      </c>
      <c r="R13" s="36">
        <v>24476</v>
      </c>
      <c r="S13" s="36">
        <v>14569</v>
      </c>
      <c r="T13" s="36" t="s">
        <v>42</v>
      </c>
      <c r="U13" s="36" t="s">
        <v>43</v>
      </c>
      <c r="V13" s="36"/>
      <c r="W13" s="36" t="s">
        <v>44</v>
      </c>
      <c r="X13" s="71"/>
      <c r="Y13" s="36" t="s">
        <v>45</v>
      </c>
      <c r="Z13" s="80"/>
    </row>
    <row r="14" s="2" customFormat="1" ht="60" customHeight="1" spans="1:26">
      <c r="A14" s="37">
        <v>2</v>
      </c>
      <c r="B14" s="38" t="s">
        <v>34</v>
      </c>
      <c r="C14" s="38" t="s">
        <v>35</v>
      </c>
      <c r="D14" s="38" t="s">
        <v>46</v>
      </c>
      <c r="E14" s="38">
        <v>392</v>
      </c>
      <c r="F14" s="38">
        <v>397</v>
      </c>
      <c r="G14" s="38" t="s">
        <v>47</v>
      </c>
      <c r="H14" s="38">
        <f t="shared" si="0"/>
        <v>5</v>
      </c>
      <c r="I14" s="38" t="s">
        <v>38</v>
      </c>
      <c r="J14" s="38">
        <v>12</v>
      </c>
      <c r="K14" s="38" t="s">
        <v>39</v>
      </c>
      <c r="L14" s="38" t="s">
        <v>40</v>
      </c>
      <c r="M14" s="38">
        <f>H14*80</f>
        <v>400</v>
      </c>
      <c r="N14" s="38">
        <f t="shared" si="1"/>
        <v>348</v>
      </c>
      <c r="O14" s="38" t="s">
        <v>32</v>
      </c>
      <c r="P14" s="38" t="s">
        <v>48</v>
      </c>
      <c r="Q14" s="38">
        <v>90.95</v>
      </c>
      <c r="R14" s="38">
        <v>24476</v>
      </c>
      <c r="S14" s="38">
        <v>14569</v>
      </c>
      <c r="T14" s="38" t="s">
        <v>42</v>
      </c>
      <c r="U14" s="38" t="s">
        <v>49</v>
      </c>
      <c r="V14" s="38"/>
      <c r="W14" s="38" t="s">
        <v>44</v>
      </c>
      <c r="X14" s="38" t="s">
        <v>50</v>
      </c>
      <c r="Y14" s="38" t="s">
        <v>45</v>
      </c>
      <c r="Z14" s="77"/>
    </row>
    <row r="15" s="2" customFormat="1" ht="60.95" customHeight="1" spans="1:26">
      <c r="A15" s="37">
        <v>3</v>
      </c>
      <c r="B15" s="38" t="s">
        <v>34</v>
      </c>
      <c r="C15" s="38" t="s">
        <v>51</v>
      </c>
      <c r="D15" s="38" t="s">
        <v>52</v>
      </c>
      <c r="E15" s="38">
        <v>124.534</v>
      </c>
      <c r="F15" s="38">
        <v>126.434</v>
      </c>
      <c r="G15" s="38" t="s">
        <v>53</v>
      </c>
      <c r="H15" s="38">
        <f t="shared" si="0"/>
        <v>1.89999999999999</v>
      </c>
      <c r="I15" s="38" t="s">
        <v>38</v>
      </c>
      <c r="J15" s="38">
        <v>9</v>
      </c>
      <c r="K15" s="38" t="s">
        <v>39</v>
      </c>
      <c r="L15" s="38" t="s">
        <v>54</v>
      </c>
      <c r="M15" s="38">
        <f>H15*60</f>
        <v>113.999999999999</v>
      </c>
      <c r="N15" s="38">
        <f t="shared" si="1"/>
        <v>99.1799999999991</v>
      </c>
      <c r="O15" s="38" t="s">
        <v>32</v>
      </c>
      <c r="P15" s="38" t="s">
        <v>55</v>
      </c>
      <c r="Q15" s="38">
        <v>88.85</v>
      </c>
      <c r="R15" s="38">
        <v>11728</v>
      </c>
      <c r="S15" s="38">
        <v>10403</v>
      </c>
      <c r="T15" s="38" t="s">
        <v>42</v>
      </c>
      <c r="U15" s="38" t="s">
        <v>56</v>
      </c>
      <c r="V15" s="38"/>
      <c r="W15" s="38" t="s">
        <v>44</v>
      </c>
      <c r="X15" s="39"/>
      <c r="Y15" s="38" t="s">
        <v>45</v>
      </c>
      <c r="Z15" s="77"/>
    </row>
    <row r="16" s="2" customFormat="1" ht="69.95" customHeight="1" spans="1:26">
      <c r="A16" s="37">
        <v>4</v>
      </c>
      <c r="B16" s="38" t="s">
        <v>34</v>
      </c>
      <c r="C16" s="38" t="s">
        <v>51</v>
      </c>
      <c r="D16" s="38" t="s">
        <v>57</v>
      </c>
      <c r="E16" s="38">
        <v>132.234</v>
      </c>
      <c r="F16" s="38">
        <v>134.252</v>
      </c>
      <c r="G16" s="38" t="s">
        <v>58</v>
      </c>
      <c r="H16" s="38">
        <f t="shared" si="0"/>
        <v>2.018</v>
      </c>
      <c r="I16" s="38" t="s">
        <v>38</v>
      </c>
      <c r="J16" s="38">
        <v>9</v>
      </c>
      <c r="K16" s="38" t="s">
        <v>39</v>
      </c>
      <c r="L16" s="38" t="s">
        <v>54</v>
      </c>
      <c r="M16" s="38">
        <f>H16*180</f>
        <v>363.24</v>
      </c>
      <c r="N16" s="38">
        <f t="shared" si="1"/>
        <v>316.0188</v>
      </c>
      <c r="O16" s="38" t="s">
        <v>31</v>
      </c>
      <c r="P16" s="38" t="s">
        <v>59</v>
      </c>
      <c r="Q16" s="38">
        <v>85.2</v>
      </c>
      <c r="R16" s="38">
        <v>11728</v>
      </c>
      <c r="S16" s="38">
        <v>10403</v>
      </c>
      <c r="T16" s="38" t="s">
        <v>42</v>
      </c>
      <c r="U16" s="38" t="s">
        <v>60</v>
      </c>
      <c r="V16" s="38"/>
      <c r="W16" s="38" t="s">
        <v>44</v>
      </c>
      <c r="X16" s="39"/>
      <c r="Y16" s="38" t="s">
        <v>45</v>
      </c>
      <c r="Z16" s="77"/>
    </row>
    <row r="17" s="2" customFormat="1" ht="35.1" customHeight="1" spans="1:26">
      <c r="A17" s="37">
        <v>5</v>
      </c>
      <c r="B17" s="39" t="s">
        <v>61</v>
      </c>
      <c r="C17" s="39" t="s">
        <v>62</v>
      </c>
      <c r="D17" s="38" t="s">
        <v>63</v>
      </c>
      <c r="E17" s="39">
        <v>911</v>
      </c>
      <c r="F17" s="39">
        <v>912.042</v>
      </c>
      <c r="G17" s="39" t="s">
        <v>64</v>
      </c>
      <c r="H17" s="38">
        <f t="shared" si="0"/>
        <v>1.04200000000003</v>
      </c>
      <c r="I17" s="39" t="s">
        <v>38</v>
      </c>
      <c r="J17" s="38">
        <v>12</v>
      </c>
      <c r="K17" s="38" t="s">
        <v>39</v>
      </c>
      <c r="L17" s="38" t="s">
        <v>65</v>
      </c>
      <c r="M17" s="38">
        <f>H17*80</f>
        <v>83.3600000000024</v>
      </c>
      <c r="N17" s="38">
        <f t="shared" si="1"/>
        <v>72.5232000000021</v>
      </c>
      <c r="O17" s="38" t="s">
        <v>32</v>
      </c>
      <c r="P17" s="38" t="s">
        <v>48</v>
      </c>
      <c r="Q17" s="72">
        <v>88.19</v>
      </c>
      <c r="R17" s="39">
        <v>11713</v>
      </c>
      <c r="S17" s="39">
        <v>11713</v>
      </c>
      <c r="T17" s="38" t="s">
        <v>66</v>
      </c>
      <c r="U17" s="39"/>
      <c r="V17" s="39"/>
      <c r="W17" s="38" t="s">
        <v>67</v>
      </c>
      <c r="X17" s="39"/>
      <c r="Y17" s="38" t="s">
        <v>45</v>
      </c>
      <c r="Z17" s="77"/>
    </row>
    <row r="18" s="2" customFormat="1" ht="35.1" customHeight="1" spans="1:26">
      <c r="A18" s="37"/>
      <c r="B18" s="39" t="s">
        <v>61</v>
      </c>
      <c r="C18" s="39" t="s">
        <v>62</v>
      </c>
      <c r="D18" s="38"/>
      <c r="E18" s="39">
        <v>944.796</v>
      </c>
      <c r="F18" s="39">
        <v>945</v>
      </c>
      <c r="G18" s="39" t="s">
        <v>68</v>
      </c>
      <c r="H18" s="38">
        <f t="shared" si="0"/>
        <v>0.203999999999951</v>
      </c>
      <c r="I18" s="39" t="s">
        <v>38</v>
      </c>
      <c r="J18" s="38">
        <v>12</v>
      </c>
      <c r="K18" s="38" t="s">
        <v>39</v>
      </c>
      <c r="L18" s="38" t="s">
        <v>65</v>
      </c>
      <c r="M18" s="38">
        <f t="shared" ref="M18:M23" si="2">H18*80</f>
        <v>16.3199999999961</v>
      </c>
      <c r="N18" s="38">
        <f t="shared" si="1"/>
        <v>14.1983999999966</v>
      </c>
      <c r="O18" s="38" t="s">
        <v>32</v>
      </c>
      <c r="P18" s="38" t="s">
        <v>48</v>
      </c>
      <c r="Q18" s="39">
        <v>91.42</v>
      </c>
      <c r="R18" s="39">
        <v>12101</v>
      </c>
      <c r="S18" s="39">
        <v>12101</v>
      </c>
      <c r="T18" s="38" t="s">
        <v>66</v>
      </c>
      <c r="U18" s="39"/>
      <c r="V18" s="39"/>
      <c r="W18" s="38" t="s">
        <v>67</v>
      </c>
      <c r="X18" s="39"/>
      <c r="Y18" s="38" t="s">
        <v>45</v>
      </c>
      <c r="Z18" s="77"/>
    </row>
    <row r="19" s="2" customFormat="1" ht="35.1" customHeight="1" spans="1:26">
      <c r="A19" s="37"/>
      <c r="B19" s="39" t="s">
        <v>61</v>
      </c>
      <c r="C19" s="39" t="s">
        <v>62</v>
      </c>
      <c r="D19" s="38"/>
      <c r="E19" s="39">
        <v>946</v>
      </c>
      <c r="F19" s="39">
        <v>950.049</v>
      </c>
      <c r="G19" s="39" t="s">
        <v>69</v>
      </c>
      <c r="H19" s="38">
        <f t="shared" si="0"/>
        <v>4.04899999999998</v>
      </c>
      <c r="I19" s="39" t="s">
        <v>38</v>
      </c>
      <c r="J19" s="38">
        <v>12</v>
      </c>
      <c r="K19" s="38" t="s">
        <v>39</v>
      </c>
      <c r="L19" s="38" t="s">
        <v>65</v>
      </c>
      <c r="M19" s="38">
        <f t="shared" si="2"/>
        <v>323.919999999998</v>
      </c>
      <c r="N19" s="38">
        <f t="shared" si="1"/>
        <v>281.810399999998</v>
      </c>
      <c r="O19" s="38" t="s">
        <v>32</v>
      </c>
      <c r="P19" s="38" t="s">
        <v>48</v>
      </c>
      <c r="Q19" s="39">
        <v>87.902</v>
      </c>
      <c r="R19" s="39">
        <v>12101</v>
      </c>
      <c r="S19" s="39">
        <v>12101</v>
      </c>
      <c r="T19" s="38" t="s">
        <v>66</v>
      </c>
      <c r="U19" s="39" t="s">
        <v>70</v>
      </c>
      <c r="V19" s="39"/>
      <c r="W19" s="38" t="s">
        <v>67</v>
      </c>
      <c r="X19" s="39"/>
      <c r="Y19" s="38" t="s">
        <v>45</v>
      </c>
      <c r="Z19" s="77"/>
    </row>
    <row r="20" s="2" customFormat="1" ht="35.1" customHeight="1" spans="1:26">
      <c r="A20" s="37">
        <v>6</v>
      </c>
      <c r="B20" s="39" t="s">
        <v>61</v>
      </c>
      <c r="C20" s="38" t="s">
        <v>35</v>
      </c>
      <c r="D20" s="38" t="s">
        <v>71</v>
      </c>
      <c r="E20" s="38">
        <v>304</v>
      </c>
      <c r="F20" s="38">
        <v>307</v>
      </c>
      <c r="G20" s="38" t="s">
        <v>72</v>
      </c>
      <c r="H20" s="38">
        <f t="shared" si="0"/>
        <v>3</v>
      </c>
      <c r="I20" s="39" t="s">
        <v>38</v>
      </c>
      <c r="J20" s="38">
        <v>7</v>
      </c>
      <c r="K20" s="38" t="s">
        <v>39</v>
      </c>
      <c r="L20" s="44" t="s">
        <v>65</v>
      </c>
      <c r="M20" s="38">
        <f t="shared" si="2"/>
        <v>240</v>
      </c>
      <c r="N20" s="38">
        <f t="shared" si="1"/>
        <v>208.8</v>
      </c>
      <c r="O20" s="38" t="s">
        <v>32</v>
      </c>
      <c r="P20" s="38" t="s">
        <v>48</v>
      </c>
      <c r="Q20" s="38">
        <v>89.29</v>
      </c>
      <c r="R20" s="38">
        <v>6212</v>
      </c>
      <c r="S20" s="38">
        <v>6212</v>
      </c>
      <c r="T20" s="38" t="s">
        <v>66</v>
      </c>
      <c r="U20" s="38"/>
      <c r="V20" s="38"/>
      <c r="W20" s="38" t="s">
        <v>67</v>
      </c>
      <c r="X20" s="39"/>
      <c r="Y20" s="38" t="s">
        <v>45</v>
      </c>
      <c r="Z20" s="77"/>
    </row>
    <row r="21" s="2" customFormat="1" ht="35.1" customHeight="1" spans="1:26">
      <c r="A21" s="37"/>
      <c r="B21" s="39" t="s">
        <v>61</v>
      </c>
      <c r="C21" s="38" t="s">
        <v>35</v>
      </c>
      <c r="D21" s="38"/>
      <c r="E21" s="38">
        <v>326</v>
      </c>
      <c r="F21" s="38">
        <v>329</v>
      </c>
      <c r="G21" s="38" t="s">
        <v>73</v>
      </c>
      <c r="H21" s="38">
        <f t="shared" si="0"/>
        <v>3</v>
      </c>
      <c r="I21" s="39" t="s">
        <v>38</v>
      </c>
      <c r="J21" s="38">
        <v>12</v>
      </c>
      <c r="K21" s="38" t="s">
        <v>39</v>
      </c>
      <c r="L21" s="44" t="s">
        <v>65</v>
      </c>
      <c r="M21" s="38">
        <f t="shared" si="2"/>
        <v>240</v>
      </c>
      <c r="N21" s="38">
        <f t="shared" si="1"/>
        <v>208.8</v>
      </c>
      <c r="O21" s="38" t="s">
        <v>32</v>
      </c>
      <c r="P21" s="38" t="s">
        <v>48</v>
      </c>
      <c r="Q21" s="38">
        <v>88.2</v>
      </c>
      <c r="R21" s="38">
        <v>6212</v>
      </c>
      <c r="S21" s="38">
        <v>6212</v>
      </c>
      <c r="T21" s="38" t="s">
        <v>66</v>
      </c>
      <c r="U21" s="38"/>
      <c r="V21" s="38"/>
      <c r="W21" s="38" t="s">
        <v>67</v>
      </c>
      <c r="X21" s="39"/>
      <c r="Y21" s="38" t="s">
        <v>45</v>
      </c>
      <c r="Z21" s="77"/>
    </row>
    <row r="22" s="2" customFormat="1" ht="35.1" customHeight="1" spans="1:26">
      <c r="A22" s="37">
        <v>7</v>
      </c>
      <c r="B22" s="39" t="s">
        <v>61</v>
      </c>
      <c r="C22" s="39" t="s">
        <v>74</v>
      </c>
      <c r="D22" s="38" t="s">
        <v>75</v>
      </c>
      <c r="E22" s="39">
        <v>50.831</v>
      </c>
      <c r="F22" s="39">
        <v>52</v>
      </c>
      <c r="G22" s="39" t="s">
        <v>76</v>
      </c>
      <c r="H22" s="38">
        <f t="shared" si="0"/>
        <v>1.169</v>
      </c>
      <c r="I22" s="39" t="s">
        <v>38</v>
      </c>
      <c r="J22" s="39">
        <v>8.5</v>
      </c>
      <c r="K22" s="38" t="s">
        <v>39</v>
      </c>
      <c r="L22" s="38" t="s">
        <v>65</v>
      </c>
      <c r="M22" s="38">
        <f t="shared" si="2"/>
        <v>93.52</v>
      </c>
      <c r="N22" s="38">
        <f t="shared" si="1"/>
        <v>81.3624</v>
      </c>
      <c r="O22" s="38" t="s">
        <v>32</v>
      </c>
      <c r="P22" s="38" t="s">
        <v>55</v>
      </c>
      <c r="Q22" s="39">
        <v>92.875</v>
      </c>
      <c r="R22" s="39">
        <v>3834</v>
      </c>
      <c r="S22" s="39">
        <v>3834</v>
      </c>
      <c r="T22" s="38" t="s">
        <v>66</v>
      </c>
      <c r="U22" s="39"/>
      <c r="V22" s="39"/>
      <c r="W22" s="38" t="s">
        <v>67</v>
      </c>
      <c r="X22" s="39"/>
      <c r="Y22" s="38" t="s">
        <v>45</v>
      </c>
      <c r="Z22" s="77"/>
    </row>
    <row r="23" s="2" customFormat="1" ht="35.1" customHeight="1" spans="1:26">
      <c r="A23" s="37"/>
      <c r="B23" s="39" t="s">
        <v>61</v>
      </c>
      <c r="C23" s="39" t="s">
        <v>74</v>
      </c>
      <c r="D23" s="38"/>
      <c r="E23" s="39">
        <v>53</v>
      </c>
      <c r="F23" s="39">
        <v>56</v>
      </c>
      <c r="G23" s="39" t="s">
        <v>76</v>
      </c>
      <c r="H23" s="38">
        <f t="shared" si="0"/>
        <v>3</v>
      </c>
      <c r="I23" s="39" t="s">
        <v>38</v>
      </c>
      <c r="J23" s="39">
        <v>8.5</v>
      </c>
      <c r="K23" s="38" t="s">
        <v>39</v>
      </c>
      <c r="L23" s="38" t="s">
        <v>65</v>
      </c>
      <c r="M23" s="38">
        <f t="shared" si="2"/>
        <v>240</v>
      </c>
      <c r="N23" s="38">
        <f t="shared" si="1"/>
        <v>208.8</v>
      </c>
      <c r="O23" s="38" t="s">
        <v>32</v>
      </c>
      <c r="P23" s="38" t="s">
        <v>55</v>
      </c>
      <c r="Q23" s="39">
        <v>89.98</v>
      </c>
      <c r="R23" s="39">
        <v>3834</v>
      </c>
      <c r="S23" s="39">
        <v>3834</v>
      </c>
      <c r="T23" s="38" t="s">
        <v>66</v>
      </c>
      <c r="U23" s="39"/>
      <c r="V23" s="39"/>
      <c r="W23" s="38" t="s">
        <v>67</v>
      </c>
      <c r="X23" s="39"/>
      <c r="Y23" s="38" t="s">
        <v>45</v>
      </c>
      <c r="Z23" s="77"/>
    </row>
    <row r="24" s="2" customFormat="1" ht="51.95" customHeight="1" spans="1:26">
      <c r="A24" s="37">
        <v>8</v>
      </c>
      <c r="B24" s="38" t="s">
        <v>77</v>
      </c>
      <c r="C24" s="38" t="s">
        <v>78</v>
      </c>
      <c r="D24" s="38" t="s">
        <v>79</v>
      </c>
      <c r="E24" s="38">
        <v>609.977</v>
      </c>
      <c r="F24" s="40">
        <v>615.65</v>
      </c>
      <c r="G24" s="38" t="s">
        <v>80</v>
      </c>
      <c r="H24" s="38">
        <f t="shared" si="0"/>
        <v>5.673</v>
      </c>
      <c r="I24" s="38" t="s">
        <v>81</v>
      </c>
      <c r="J24" s="38">
        <v>8.5</v>
      </c>
      <c r="K24" s="38" t="s">
        <v>39</v>
      </c>
      <c r="L24" s="38" t="s">
        <v>82</v>
      </c>
      <c r="M24" s="60">
        <f t="shared" ref="M24:M26" si="3">H24*80/12*J24</f>
        <v>321.47</v>
      </c>
      <c r="N24" s="38">
        <f t="shared" si="1"/>
        <v>279.6789</v>
      </c>
      <c r="O24" s="38" t="s">
        <v>32</v>
      </c>
      <c r="P24" s="38" t="s">
        <v>83</v>
      </c>
      <c r="Q24" s="38" t="s">
        <v>84</v>
      </c>
      <c r="R24" s="38">
        <v>6705</v>
      </c>
      <c r="S24" s="38">
        <v>633</v>
      </c>
      <c r="T24" s="38" t="s">
        <v>85</v>
      </c>
      <c r="U24" s="38">
        <v>2018</v>
      </c>
      <c r="V24" s="38">
        <v>2018</v>
      </c>
      <c r="W24" s="38" t="s">
        <v>86</v>
      </c>
      <c r="X24" s="39" t="s">
        <v>87</v>
      </c>
      <c r="Y24" s="38" t="s">
        <v>45</v>
      </c>
      <c r="Z24" s="77"/>
    </row>
    <row r="25" s="3" customFormat="1" ht="70.5" customHeight="1" spans="1:26">
      <c r="A25" s="37">
        <v>9</v>
      </c>
      <c r="B25" s="38" t="s">
        <v>88</v>
      </c>
      <c r="C25" s="38" t="s">
        <v>89</v>
      </c>
      <c r="D25" s="38" t="s">
        <v>90</v>
      </c>
      <c r="E25" s="41">
        <v>168.435</v>
      </c>
      <c r="F25" s="41">
        <v>168.75</v>
      </c>
      <c r="G25" s="38" t="s">
        <v>91</v>
      </c>
      <c r="H25" s="38">
        <f t="shared" si="0"/>
        <v>0.314999999999998</v>
      </c>
      <c r="I25" s="38" t="s">
        <v>38</v>
      </c>
      <c r="J25" s="38">
        <v>12</v>
      </c>
      <c r="K25" s="38" t="s">
        <v>92</v>
      </c>
      <c r="L25" s="38" t="s">
        <v>93</v>
      </c>
      <c r="M25" s="60">
        <f t="shared" si="3"/>
        <v>25.2</v>
      </c>
      <c r="N25" s="38">
        <f t="shared" si="1"/>
        <v>21.924</v>
      </c>
      <c r="O25" s="38" t="s">
        <v>32</v>
      </c>
      <c r="P25" s="38" t="s">
        <v>94</v>
      </c>
      <c r="Q25" s="38">
        <v>88.97</v>
      </c>
      <c r="R25" s="38">
        <v>13056</v>
      </c>
      <c r="S25" s="38">
        <v>1656</v>
      </c>
      <c r="T25" s="38" t="s">
        <v>95</v>
      </c>
      <c r="U25" s="38" t="s">
        <v>96</v>
      </c>
      <c r="V25" s="38" t="s">
        <v>97</v>
      </c>
      <c r="W25" s="38" t="s">
        <v>98</v>
      </c>
      <c r="X25" s="38"/>
      <c r="Y25" s="38" t="s">
        <v>45</v>
      </c>
      <c r="Z25" s="77"/>
    </row>
    <row r="26" s="3" customFormat="1" ht="59.25" customHeight="1" spans="1:26">
      <c r="A26" s="37"/>
      <c r="B26" s="38"/>
      <c r="C26" s="38" t="s">
        <v>89</v>
      </c>
      <c r="D26" s="38"/>
      <c r="E26" s="41">
        <v>174.564</v>
      </c>
      <c r="F26" s="41">
        <v>177.65</v>
      </c>
      <c r="G26" s="38" t="s">
        <v>99</v>
      </c>
      <c r="H26" s="38">
        <f t="shared" si="0"/>
        <v>3.08600000000001</v>
      </c>
      <c r="I26" s="38" t="s">
        <v>38</v>
      </c>
      <c r="J26" s="38">
        <v>12</v>
      </c>
      <c r="K26" s="38" t="s">
        <v>92</v>
      </c>
      <c r="L26" s="38" t="s">
        <v>100</v>
      </c>
      <c r="M26" s="60">
        <f t="shared" si="3"/>
        <v>246.88</v>
      </c>
      <c r="N26" s="38">
        <f t="shared" si="1"/>
        <v>214.7856</v>
      </c>
      <c r="O26" s="38" t="s">
        <v>32</v>
      </c>
      <c r="P26" s="38" t="s">
        <v>94</v>
      </c>
      <c r="Q26" s="38">
        <v>92.18</v>
      </c>
      <c r="R26" s="38">
        <v>13056</v>
      </c>
      <c r="S26" s="38">
        <v>1656</v>
      </c>
      <c r="T26" s="38" t="s">
        <v>95</v>
      </c>
      <c r="U26" s="38" t="s">
        <v>96</v>
      </c>
      <c r="V26" s="38" t="s">
        <v>97</v>
      </c>
      <c r="W26" s="38" t="s">
        <v>98</v>
      </c>
      <c r="X26" s="38" t="s">
        <v>101</v>
      </c>
      <c r="Y26" s="38" t="s">
        <v>45</v>
      </c>
      <c r="Z26" s="77"/>
    </row>
    <row r="27" s="3" customFormat="1" ht="62.1" customHeight="1" spans="1:26">
      <c r="A27" s="42">
        <v>10</v>
      </c>
      <c r="B27" s="43" t="s">
        <v>88</v>
      </c>
      <c r="C27" s="38" t="s">
        <v>102</v>
      </c>
      <c r="D27" s="43" t="s">
        <v>103</v>
      </c>
      <c r="E27" s="44">
        <v>2164.6</v>
      </c>
      <c r="F27" s="44">
        <v>2165.4</v>
      </c>
      <c r="G27" s="38" t="s">
        <v>104</v>
      </c>
      <c r="H27" s="38">
        <f t="shared" si="0"/>
        <v>0.800000000000182</v>
      </c>
      <c r="I27" s="38" t="s">
        <v>38</v>
      </c>
      <c r="J27" s="38">
        <v>12</v>
      </c>
      <c r="K27" s="38" t="s">
        <v>39</v>
      </c>
      <c r="L27" s="38" t="s">
        <v>105</v>
      </c>
      <c r="M27" s="60">
        <f>H27*80</f>
        <v>64</v>
      </c>
      <c r="N27" s="38">
        <f t="shared" si="1"/>
        <v>55.68</v>
      </c>
      <c r="O27" s="38" t="s">
        <v>32</v>
      </c>
      <c r="P27" s="38" t="s">
        <v>106</v>
      </c>
      <c r="Q27" s="64">
        <v>96</v>
      </c>
      <c r="R27" s="38">
        <v>14656</v>
      </c>
      <c r="S27" s="38">
        <v>3563</v>
      </c>
      <c r="T27" s="38" t="s">
        <v>107</v>
      </c>
      <c r="U27" s="38" t="s">
        <v>108</v>
      </c>
      <c r="V27" s="38" t="s">
        <v>97</v>
      </c>
      <c r="W27" s="38" t="s">
        <v>98</v>
      </c>
      <c r="X27" s="38" t="s">
        <v>109</v>
      </c>
      <c r="Y27" s="38" t="s">
        <v>45</v>
      </c>
      <c r="Z27" s="77"/>
    </row>
    <row r="28" s="3" customFormat="1" ht="62.1" customHeight="1" spans="1:26">
      <c r="A28" s="45"/>
      <c r="B28" s="46"/>
      <c r="C28" s="38" t="s">
        <v>102</v>
      </c>
      <c r="D28" s="46"/>
      <c r="E28" s="44">
        <v>2161.205</v>
      </c>
      <c r="F28" s="44">
        <v>2164.2</v>
      </c>
      <c r="G28" s="38" t="s">
        <v>110</v>
      </c>
      <c r="H28" s="38">
        <f t="shared" si="0"/>
        <v>2.99499999999989</v>
      </c>
      <c r="I28" s="38" t="s">
        <v>38</v>
      </c>
      <c r="J28" s="38">
        <v>12</v>
      </c>
      <c r="K28" s="38" t="s">
        <v>39</v>
      </c>
      <c r="L28" s="38" t="s">
        <v>105</v>
      </c>
      <c r="M28" s="60">
        <f>H28*80</f>
        <v>239.6</v>
      </c>
      <c r="N28" s="38">
        <f t="shared" si="1"/>
        <v>208.452</v>
      </c>
      <c r="O28" s="38" t="s">
        <v>32</v>
      </c>
      <c r="P28" s="38" t="s">
        <v>106</v>
      </c>
      <c r="Q28" s="64">
        <v>92.3</v>
      </c>
      <c r="R28" s="38">
        <v>14656</v>
      </c>
      <c r="S28" s="38">
        <v>3563</v>
      </c>
      <c r="T28" s="38" t="s">
        <v>107</v>
      </c>
      <c r="U28" s="38" t="s">
        <v>108</v>
      </c>
      <c r="V28" s="38" t="s">
        <v>97</v>
      </c>
      <c r="W28" s="38" t="s">
        <v>98</v>
      </c>
      <c r="X28" s="38"/>
      <c r="Y28" s="38" t="s">
        <v>45</v>
      </c>
      <c r="Z28" s="77"/>
    </row>
    <row r="29" s="3" customFormat="1" ht="62.1" customHeight="1" spans="1:26">
      <c r="A29" s="45"/>
      <c r="B29" s="46"/>
      <c r="C29" s="38" t="s">
        <v>102</v>
      </c>
      <c r="D29" s="46"/>
      <c r="E29" s="44">
        <v>2166.2</v>
      </c>
      <c r="F29" s="44">
        <v>2167.75</v>
      </c>
      <c r="G29" s="38" t="s">
        <v>111</v>
      </c>
      <c r="H29" s="38">
        <f t="shared" si="0"/>
        <v>1.55000000000018</v>
      </c>
      <c r="I29" s="38" t="s">
        <v>38</v>
      </c>
      <c r="J29" s="38">
        <v>12</v>
      </c>
      <c r="K29" s="38" t="s">
        <v>39</v>
      </c>
      <c r="L29" s="38" t="s">
        <v>105</v>
      </c>
      <c r="M29" s="60">
        <f>H29*80</f>
        <v>124</v>
      </c>
      <c r="N29" s="38">
        <f t="shared" si="1"/>
        <v>107.88</v>
      </c>
      <c r="O29" s="38" t="s">
        <v>32</v>
      </c>
      <c r="P29" s="38" t="s">
        <v>106</v>
      </c>
      <c r="Q29" s="64">
        <v>89.8</v>
      </c>
      <c r="R29" s="38">
        <v>14656</v>
      </c>
      <c r="S29" s="38">
        <v>3563</v>
      </c>
      <c r="T29" s="38" t="s">
        <v>107</v>
      </c>
      <c r="U29" s="38" t="s">
        <v>108</v>
      </c>
      <c r="V29" s="38" t="s">
        <v>97</v>
      </c>
      <c r="W29" s="38" t="s">
        <v>98</v>
      </c>
      <c r="X29" s="38"/>
      <c r="Y29" s="38" t="s">
        <v>45</v>
      </c>
      <c r="Z29" s="77"/>
    </row>
    <row r="30" s="3" customFormat="1" ht="62.1" customHeight="1" spans="1:26">
      <c r="A30" s="45"/>
      <c r="B30" s="46"/>
      <c r="C30" s="38" t="s">
        <v>102</v>
      </c>
      <c r="D30" s="46"/>
      <c r="E30" s="44">
        <v>2172.2</v>
      </c>
      <c r="F30" s="44">
        <v>2173.25</v>
      </c>
      <c r="G30" s="38" t="s">
        <v>112</v>
      </c>
      <c r="H30" s="38">
        <f t="shared" si="0"/>
        <v>1.05000000000018</v>
      </c>
      <c r="I30" s="38" t="s">
        <v>38</v>
      </c>
      <c r="J30" s="38">
        <v>12</v>
      </c>
      <c r="K30" s="38" t="s">
        <v>39</v>
      </c>
      <c r="L30" s="38" t="s">
        <v>105</v>
      </c>
      <c r="M30" s="60">
        <f>H30*80</f>
        <v>84</v>
      </c>
      <c r="N30" s="38">
        <f t="shared" si="1"/>
        <v>73.08</v>
      </c>
      <c r="O30" s="38" t="s">
        <v>32</v>
      </c>
      <c r="P30" s="38" t="s">
        <v>106</v>
      </c>
      <c r="Q30" s="64">
        <v>91.3</v>
      </c>
      <c r="R30" s="38">
        <v>14656</v>
      </c>
      <c r="S30" s="38">
        <v>3563</v>
      </c>
      <c r="T30" s="38" t="s">
        <v>107</v>
      </c>
      <c r="U30" s="38" t="s">
        <v>113</v>
      </c>
      <c r="V30" s="38" t="s">
        <v>97</v>
      </c>
      <c r="W30" s="38" t="s">
        <v>98</v>
      </c>
      <c r="X30" s="38"/>
      <c r="Y30" s="38" t="s">
        <v>45</v>
      </c>
      <c r="Z30" s="77"/>
    </row>
    <row r="31" s="3" customFormat="1" ht="62.1" customHeight="1" spans="1:26">
      <c r="A31" s="47"/>
      <c r="B31" s="48"/>
      <c r="C31" s="38" t="s">
        <v>102</v>
      </c>
      <c r="D31" s="48"/>
      <c r="E31" s="44">
        <v>2174.45</v>
      </c>
      <c r="F31" s="44">
        <v>2175.15</v>
      </c>
      <c r="G31" s="38" t="s">
        <v>114</v>
      </c>
      <c r="H31" s="38">
        <f t="shared" si="0"/>
        <v>0.700000000000273</v>
      </c>
      <c r="I31" s="38" t="s">
        <v>38</v>
      </c>
      <c r="J31" s="38">
        <v>12</v>
      </c>
      <c r="K31" s="38" t="s">
        <v>39</v>
      </c>
      <c r="L31" s="38" t="s">
        <v>105</v>
      </c>
      <c r="M31" s="60">
        <f>H31*80</f>
        <v>56</v>
      </c>
      <c r="N31" s="38">
        <f t="shared" si="1"/>
        <v>48.72</v>
      </c>
      <c r="O31" s="38" t="s">
        <v>32</v>
      </c>
      <c r="P31" s="38" t="s">
        <v>106</v>
      </c>
      <c r="Q31" s="64">
        <v>89.8</v>
      </c>
      <c r="R31" s="38">
        <v>14656</v>
      </c>
      <c r="S31" s="38">
        <v>3563</v>
      </c>
      <c r="T31" s="38" t="s">
        <v>107</v>
      </c>
      <c r="U31" s="38" t="s">
        <v>113</v>
      </c>
      <c r="V31" s="38" t="s">
        <v>97</v>
      </c>
      <c r="W31" s="38" t="s">
        <v>98</v>
      </c>
      <c r="X31" s="38"/>
      <c r="Y31" s="38" t="s">
        <v>45</v>
      </c>
      <c r="Z31" s="77"/>
    </row>
    <row r="32" s="2" customFormat="1" ht="51.75" customHeight="1" spans="1:26">
      <c r="A32" s="37">
        <v>11</v>
      </c>
      <c r="B32" s="39" t="s">
        <v>115</v>
      </c>
      <c r="C32" s="38" t="s">
        <v>102</v>
      </c>
      <c r="D32" s="38" t="s">
        <v>116</v>
      </c>
      <c r="E32" s="44">
        <v>2181.75</v>
      </c>
      <c r="F32" s="44">
        <v>2183.005</v>
      </c>
      <c r="G32" s="38" t="s">
        <v>117</v>
      </c>
      <c r="H32" s="38">
        <f t="shared" si="0"/>
        <v>1.25500000000011</v>
      </c>
      <c r="I32" s="38" t="s">
        <v>81</v>
      </c>
      <c r="J32" s="38">
        <v>22</v>
      </c>
      <c r="K32" s="38" t="s">
        <v>39</v>
      </c>
      <c r="L32" s="38" t="s">
        <v>118</v>
      </c>
      <c r="M32" s="60">
        <f t="shared" ref="M32" si="4">ROUND(H32*80/12*J32,0)</f>
        <v>184</v>
      </c>
      <c r="N32" s="38">
        <f t="shared" ref="N32:N52" si="5">ROUND(M32*0.87,0)</f>
        <v>160</v>
      </c>
      <c r="O32" s="38" t="s">
        <v>32</v>
      </c>
      <c r="P32" s="38" t="s">
        <v>119</v>
      </c>
      <c r="Q32" s="39">
        <v>81.84</v>
      </c>
      <c r="R32" s="38">
        <v>19930</v>
      </c>
      <c r="S32" s="38">
        <v>12245</v>
      </c>
      <c r="T32" s="38" t="s">
        <v>120</v>
      </c>
      <c r="U32" s="38" t="s">
        <v>121</v>
      </c>
      <c r="V32" s="39"/>
      <c r="W32" s="39" t="s">
        <v>122</v>
      </c>
      <c r="X32" s="38" t="s">
        <v>123</v>
      </c>
      <c r="Y32" s="38" t="s">
        <v>45</v>
      </c>
      <c r="Z32" s="77" t="s">
        <v>124</v>
      </c>
    </row>
    <row r="33" s="2" customFormat="1" ht="51.75" customHeight="1" spans="1:26">
      <c r="A33" s="37">
        <v>12</v>
      </c>
      <c r="B33" s="39" t="s">
        <v>115</v>
      </c>
      <c r="C33" s="38" t="s">
        <v>102</v>
      </c>
      <c r="D33" s="38" t="s">
        <v>125</v>
      </c>
      <c r="E33" s="44">
        <v>2183.52</v>
      </c>
      <c r="F33" s="44">
        <v>2184.35</v>
      </c>
      <c r="G33" s="38" t="s">
        <v>126</v>
      </c>
      <c r="H33" s="38">
        <f t="shared" si="0"/>
        <v>0.829999999999927</v>
      </c>
      <c r="I33" s="38" t="s">
        <v>81</v>
      </c>
      <c r="J33" s="38">
        <v>21</v>
      </c>
      <c r="K33" s="38" t="s">
        <v>39</v>
      </c>
      <c r="L33" s="44" t="s">
        <v>118</v>
      </c>
      <c r="M33" s="60">
        <f>ROUND(H33*180/12*J33,0)</f>
        <v>261</v>
      </c>
      <c r="N33" s="38">
        <f t="shared" si="5"/>
        <v>227</v>
      </c>
      <c r="O33" s="38" t="s">
        <v>31</v>
      </c>
      <c r="P33" s="38" t="s">
        <v>127</v>
      </c>
      <c r="Q33" s="39">
        <v>89.89</v>
      </c>
      <c r="R33" s="38">
        <v>19930</v>
      </c>
      <c r="S33" s="38">
        <v>12245</v>
      </c>
      <c r="T33" s="38" t="s">
        <v>120</v>
      </c>
      <c r="U33" s="38" t="s">
        <v>128</v>
      </c>
      <c r="V33" s="39"/>
      <c r="W33" s="39" t="s">
        <v>122</v>
      </c>
      <c r="X33" s="38" t="s">
        <v>129</v>
      </c>
      <c r="Y33" s="38" t="s">
        <v>45</v>
      </c>
      <c r="Z33" s="77"/>
    </row>
    <row r="34" s="2" customFormat="1" ht="51.75" customHeight="1" spans="1:26">
      <c r="A34" s="37">
        <v>13</v>
      </c>
      <c r="B34" s="39" t="s">
        <v>115</v>
      </c>
      <c r="C34" s="38" t="s">
        <v>102</v>
      </c>
      <c r="D34" s="38" t="s">
        <v>125</v>
      </c>
      <c r="E34" s="44">
        <v>2183.52</v>
      </c>
      <c r="F34" s="44">
        <v>2184.35</v>
      </c>
      <c r="G34" s="38" t="s">
        <v>117</v>
      </c>
      <c r="H34" s="38">
        <f t="shared" si="0"/>
        <v>0.829999999999927</v>
      </c>
      <c r="I34" s="38" t="s">
        <v>81</v>
      </c>
      <c r="J34" s="38">
        <v>21</v>
      </c>
      <c r="K34" s="38" t="s">
        <v>39</v>
      </c>
      <c r="L34" s="44" t="s">
        <v>118</v>
      </c>
      <c r="M34" s="60">
        <f>ROUND(H34*180/12*J34,0)</f>
        <v>261</v>
      </c>
      <c r="N34" s="38">
        <f t="shared" si="5"/>
        <v>227</v>
      </c>
      <c r="O34" s="38" t="s">
        <v>31</v>
      </c>
      <c r="P34" s="38" t="s">
        <v>127</v>
      </c>
      <c r="Q34" s="39">
        <v>83.01</v>
      </c>
      <c r="R34" s="38">
        <v>19930</v>
      </c>
      <c r="S34" s="38">
        <v>12245</v>
      </c>
      <c r="T34" s="38" t="s">
        <v>120</v>
      </c>
      <c r="U34" s="38" t="s">
        <v>128</v>
      </c>
      <c r="V34" s="39"/>
      <c r="W34" s="39" t="s">
        <v>122</v>
      </c>
      <c r="X34" s="38" t="s">
        <v>130</v>
      </c>
      <c r="Y34" s="38" t="s">
        <v>45</v>
      </c>
      <c r="Z34" s="77"/>
    </row>
    <row r="35" s="2" customFormat="1" ht="51.75" customHeight="1" spans="1:26">
      <c r="A35" s="37">
        <v>14</v>
      </c>
      <c r="B35" s="39" t="s">
        <v>115</v>
      </c>
      <c r="C35" s="38" t="s">
        <v>102</v>
      </c>
      <c r="D35" s="38" t="s">
        <v>125</v>
      </c>
      <c r="E35" s="44">
        <v>2185</v>
      </c>
      <c r="F35" s="44">
        <v>2186.215</v>
      </c>
      <c r="G35" s="38" t="s">
        <v>126</v>
      </c>
      <c r="H35" s="38">
        <f t="shared" si="0"/>
        <v>1.21500000000015</v>
      </c>
      <c r="I35" s="38" t="s">
        <v>81</v>
      </c>
      <c r="J35" s="38">
        <v>21</v>
      </c>
      <c r="K35" s="38" t="s">
        <v>39</v>
      </c>
      <c r="L35" s="44" t="s">
        <v>118</v>
      </c>
      <c r="M35" s="60">
        <f t="shared" ref="M35:M36" si="6">ROUND(H35*180/12*J35,0)</f>
        <v>383</v>
      </c>
      <c r="N35" s="38">
        <f t="shared" si="5"/>
        <v>333</v>
      </c>
      <c r="O35" s="38" t="s">
        <v>31</v>
      </c>
      <c r="P35" s="38" t="s">
        <v>127</v>
      </c>
      <c r="Q35" s="38">
        <v>86.91</v>
      </c>
      <c r="R35" s="38">
        <v>22777</v>
      </c>
      <c r="S35" s="38">
        <v>16879</v>
      </c>
      <c r="T35" s="38" t="s">
        <v>131</v>
      </c>
      <c r="U35" s="38" t="s">
        <v>128</v>
      </c>
      <c r="V35" s="39"/>
      <c r="W35" s="39" t="s">
        <v>122</v>
      </c>
      <c r="X35" s="38" t="s">
        <v>132</v>
      </c>
      <c r="Y35" s="38" t="s">
        <v>45</v>
      </c>
      <c r="Z35" s="77"/>
    </row>
    <row r="36" s="2" customFormat="1" ht="51.75" customHeight="1" spans="1:26">
      <c r="A36" s="37">
        <v>15</v>
      </c>
      <c r="B36" s="39" t="s">
        <v>115</v>
      </c>
      <c r="C36" s="38" t="s">
        <v>102</v>
      </c>
      <c r="D36" s="38" t="s">
        <v>125</v>
      </c>
      <c r="E36" s="44">
        <v>2201</v>
      </c>
      <c r="F36" s="44">
        <v>2202.685</v>
      </c>
      <c r="G36" s="38" t="s">
        <v>126</v>
      </c>
      <c r="H36" s="38">
        <f t="shared" si="0"/>
        <v>1.68499999999995</v>
      </c>
      <c r="I36" s="38" t="s">
        <v>81</v>
      </c>
      <c r="J36" s="38">
        <v>21</v>
      </c>
      <c r="K36" s="38" t="s">
        <v>39</v>
      </c>
      <c r="L36" s="44"/>
      <c r="M36" s="60">
        <f t="shared" si="6"/>
        <v>531</v>
      </c>
      <c r="N36" s="38">
        <f t="shared" si="5"/>
        <v>462</v>
      </c>
      <c r="O36" s="38" t="s">
        <v>31</v>
      </c>
      <c r="P36" s="38" t="s">
        <v>127</v>
      </c>
      <c r="Q36" s="38">
        <v>97.48</v>
      </c>
      <c r="R36" s="38">
        <v>22777</v>
      </c>
      <c r="S36" s="38">
        <v>16879</v>
      </c>
      <c r="T36" s="38"/>
      <c r="U36" s="38" t="s">
        <v>128</v>
      </c>
      <c r="V36" s="39"/>
      <c r="W36" s="39" t="s">
        <v>122</v>
      </c>
      <c r="X36" s="38" t="s">
        <v>133</v>
      </c>
      <c r="Y36" s="38" t="s">
        <v>45</v>
      </c>
      <c r="Z36" s="85" t="s">
        <v>134</v>
      </c>
    </row>
    <row r="37" s="2" customFormat="1" ht="50.25" customHeight="1" spans="1:26">
      <c r="A37" s="37">
        <v>16</v>
      </c>
      <c r="B37" s="38" t="s">
        <v>135</v>
      </c>
      <c r="C37" s="38" t="s">
        <v>35</v>
      </c>
      <c r="D37" s="38" t="s">
        <v>136</v>
      </c>
      <c r="E37" s="38">
        <v>551</v>
      </c>
      <c r="F37" s="38">
        <v>552</v>
      </c>
      <c r="G37" s="38" t="s">
        <v>137</v>
      </c>
      <c r="H37" s="41">
        <f t="shared" si="0"/>
        <v>1</v>
      </c>
      <c r="I37" s="38" t="s">
        <v>38</v>
      </c>
      <c r="J37" s="38">
        <v>9</v>
      </c>
      <c r="K37" s="38" t="s">
        <v>39</v>
      </c>
      <c r="L37" s="38" t="s">
        <v>138</v>
      </c>
      <c r="M37" s="38">
        <f>ROUND(H37*80,0)</f>
        <v>80</v>
      </c>
      <c r="N37" s="38">
        <f t="shared" si="5"/>
        <v>70</v>
      </c>
      <c r="O37" s="38" t="s">
        <v>32</v>
      </c>
      <c r="P37" s="38" t="s">
        <v>139</v>
      </c>
      <c r="Q37" s="38">
        <v>88.93</v>
      </c>
      <c r="R37" s="38">
        <v>6389</v>
      </c>
      <c r="S37" s="38">
        <v>3285</v>
      </c>
      <c r="T37" s="38" t="s">
        <v>140</v>
      </c>
      <c r="U37" s="38" t="s">
        <v>141</v>
      </c>
      <c r="V37" s="38" t="s">
        <v>97</v>
      </c>
      <c r="W37" s="38" t="s">
        <v>142</v>
      </c>
      <c r="X37" s="38" t="s">
        <v>143</v>
      </c>
      <c r="Y37" s="38" t="s">
        <v>45</v>
      </c>
      <c r="Z37" s="77" t="s">
        <v>144</v>
      </c>
    </row>
    <row r="38" s="2" customFormat="1" ht="64.5" customHeight="1" spans="1:26">
      <c r="A38" s="37">
        <v>17</v>
      </c>
      <c r="B38" s="38" t="s">
        <v>135</v>
      </c>
      <c r="C38" s="38" t="s">
        <v>35</v>
      </c>
      <c r="D38" s="38" t="s">
        <v>145</v>
      </c>
      <c r="E38" s="38">
        <v>553.202</v>
      </c>
      <c r="F38" s="38">
        <v>555.225</v>
      </c>
      <c r="G38" s="38" t="s">
        <v>146</v>
      </c>
      <c r="H38" s="38">
        <f t="shared" si="0"/>
        <v>2.02300000000002</v>
      </c>
      <c r="I38" s="38" t="s">
        <v>38</v>
      </c>
      <c r="J38" s="38">
        <v>9</v>
      </c>
      <c r="K38" s="38" t="s">
        <v>39</v>
      </c>
      <c r="L38" s="38" t="s">
        <v>138</v>
      </c>
      <c r="M38" s="38">
        <f>ROUND(H38*380,0)</f>
        <v>769</v>
      </c>
      <c r="N38" s="38">
        <f t="shared" si="5"/>
        <v>669</v>
      </c>
      <c r="O38" s="38" t="s">
        <v>30</v>
      </c>
      <c r="P38" s="38" t="s">
        <v>147</v>
      </c>
      <c r="Q38" s="38">
        <v>87.45</v>
      </c>
      <c r="R38" s="38">
        <v>6389</v>
      </c>
      <c r="S38" s="38">
        <v>3285</v>
      </c>
      <c r="T38" s="38" t="s">
        <v>148</v>
      </c>
      <c r="U38" s="38" t="s">
        <v>149</v>
      </c>
      <c r="V38" s="38" t="s">
        <v>97</v>
      </c>
      <c r="W38" s="38" t="s">
        <v>142</v>
      </c>
      <c r="X38" s="38" t="s">
        <v>150</v>
      </c>
      <c r="Y38" s="38" t="s">
        <v>45</v>
      </c>
      <c r="Z38" s="77"/>
    </row>
    <row r="39" s="2" customFormat="1" ht="53.1" customHeight="1" spans="1:26">
      <c r="A39" s="37">
        <v>18</v>
      </c>
      <c r="B39" s="38" t="s">
        <v>135</v>
      </c>
      <c r="C39" s="38" t="s">
        <v>35</v>
      </c>
      <c r="D39" s="38" t="s">
        <v>151</v>
      </c>
      <c r="E39" s="38">
        <v>556.487</v>
      </c>
      <c r="F39" s="40">
        <v>559</v>
      </c>
      <c r="G39" s="38" t="s">
        <v>146</v>
      </c>
      <c r="H39" s="38">
        <f t="shared" si="0"/>
        <v>2.51300000000003</v>
      </c>
      <c r="I39" s="38" t="s">
        <v>38</v>
      </c>
      <c r="J39" s="38">
        <v>9</v>
      </c>
      <c r="K39" s="38" t="s">
        <v>39</v>
      </c>
      <c r="L39" s="38" t="s">
        <v>138</v>
      </c>
      <c r="M39" s="38">
        <f>ROUND(H39*180,0)</f>
        <v>452</v>
      </c>
      <c r="N39" s="38">
        <f t="shared" si="5"/>
        <v>393</v>
      </c>
      <c r="O39" s="38" t="s">
        <v>31</v>
      </c>
      <c r="P39" s="38" t="s">
        <v>152</v>
      </c>
      <c r="Q39" s="38">
        <v>89.17</v>
      </c>
      <c r="R39" s="38">
        <v>6389</v>
      </c>
      <c r="S39" s="38">
        <v>3285</v>
      </c>
      <c r="T39" s="38" t="s">
        <v>148</v>
      </c>
      <c r="U39" s="38" t="s">
        <v>149</v>
      </c>
      <c r="V39" s="38" t="s">
        <v>97</v>
      </c>
      <c r="W39" s="38" t="s">
        <v>142</v>
      </c>
      <c r="X39" s="38" t="s">
        <v>153</v>
      </c>
      <c r="Y39" s="38" t="s">
        <v>45</v>
      </c>
      <c r="Z39" s="77"/>
    </row>
    <row r="40" s="2" customFormat="1" ht="50.25" customHeight="1" spans="1:26">
      <c r="A40" s="37">
        <v>19</v>
      </c>
      <c r="B40" s="38" t="s">
        <v>135</v>
      </c>
      <c r="C40" s="38" t="s">
        <v>35</v>
      </c>
      <c r="D40" s="38" t="s">
        <v>136</v>
      </c>
      <c r="E40" s="38">
        <v>561</v>
      </c>
      <c r="F40" s="38">
        <v>563</v>
      </c>
      <c r="G40" s="38" t="s">
        <v>146</v>
      </c>
      <c r="H40" s="41">
        <f t="shared" si="0"/>
        <v>2</v>
      </c>
      <c r="I40" s="38" t="s">
        <v>38</v>
      </c>
      <c r="J40" s="38">
        <v>9</v>
      </c>
      <c r="K40" s="38" t="s">
        <v>39</v>
      </c>
      <c r="L40" s="38" t="s">
        <v>138</v>
      </c>
      <c r="M40" s="38">
        <f>ROUND(H40*80,0)</f>
        <v>160</v>
      </c>
      <c r="N40" s="38">
        <f t="shared" si="5"/>
        <v>139</v>
      </c>
      <c r="O40" s="38" t="s">
        <v>32</v>
      </c>
      <c r="P40" s="38" t="s">
        <v>139</v>
      </c>
      <c r="Q40" s="38">
        <v>89.11</v>
      </c>
      <c r="R40" s="38">
        <v>6389</v>
      </c>
      <c r="S40" s="38">
        <v>3285</v>
      </c>
      <c r="T40" s="38" t="s">
        <v>148</v>
      </c>
      <c r="U40" s="38" t="s">
        <v>149</v>
      </c>
      <c r="V40" s="38" t="s">
        <v>97</v>
      </c>
      <c r="W40" s="38" t="s">
        <v>142</v>
      </c>
      <c r="X40" s="38" t="s">
        <v>154</v>
      </c>
      <c r="Y40" s="38" t="s">
        <v>45</v>
      </c>
      <c r="Z40" s="77" t="s">
        <v>144</v>
      </c>
    </row>
    <row r="41" s="2" customFormat="1" ht="47.25" customHeight="1" spans="1:26">
      <c r="A41" s="37">
        <v>20</v>
      </c>
      <c r="B41" s="38" t="s">
        <v>135</v>
      </c>
      <c r="C41" s="38" t="s">
        <v>35</v>
      </c>
      <c r="D41" s="38" t="s">
        <v>151</v>
      </c>
      <c r="E41" s="40">
        <v>565</v>
      </c>
      <c r="F41" s="38">
        <v>565.819</v>
      </c>
      <c r="G41" s="38" t="s">
        <v>155</v>
      </c>
      <c r="H41" s="38">
        <f t="shared" si="0"/>
        <v>0.81899999999996</v>
      </c>
      <c r="I41" s="38" t="s">
        <v>38</v>
      </c>
      <c r="J41" s="38">
        <v>9</v>
      </c>
      <c r="K41" s="38" t="s">
        <v>39</v>
      </c>
      <c r="L41" s="38" t="s">
        <v>138</v>
      </c>
      <c r="M41" s="38">
        <f>ROUND(H41*180,0)</f>
        <v>147</v>
      </c>
      <c r="N41" s="38">
        <f t="shared" si="5"/>
        <v>128</v>
      </c>
      <c r="O41" s="38" t="s">
        <v>31</v>
      </c>
      <c r="P41" s="38" t="s">
        <v>152</v>
      </c>
      <c r="Q41" s="38">
        <v>88.87</v>
      </c>
      <c r="R41" s="38">
        <v>6389</v>
      </c>
      <c r="S41" s="38">
        <v>3285</v>
      </c>
      <c r="T41" s="38" t="s">
        <v>148</v>
      </c>
      <c r="U41" s="38" t="s">
        <v>149</v>
      </c>
      <c r="V41" s="38" t="s">
        <v>97</v>
      </c>
      <c r="W41" s="38" t="s">
        <v>142</v>
      </c>
      <c r="X41" s="38" t="s">
        <v>156</v>
      </c>
      <c r="Y41" s="38" t="s">
        <v>45</v>
      </c>
      <c r="Z41" s="77"/>
    </row>
    <row r="42" s="2" customFormat="1" ht="66" customHeight="1" spans="1:26">
      <c r="A42" s="37">
        <v>21</v>
      </c>
      <c r="B42" s="38" t="s">
        <v>135</v>
      </c>
      <c r="C42" s="38" t="s">
        <v>35</v>
      </c>
      <c r="D42" s="38" t="s">
        <v>136</v>
      </c>
      <c r="E42" s="41">
        <v>470.885</v>
      </c>
      <c r="F42" s="41">
        <v>471.085</v>
      </c>
      <c r="G42" s="41" t="s">
        <v>157</v>
      </c>
      <c r="H42" s="38">
        <f t="shared" si="0"/>
        <v>0.199999999999989</v>
      </c>
      <c r="I42" s="38" t="s">
        <v>38</v>
      </c>
      <c r="J42" s="61">
        <v>7</v>
      </c>
      <c r="K42" s="38" t="s">
        <v>39</v>
      </c>
      <c r="L42" s="38" t="s">
        <v>158</v>
      </c>
      <c r="M42" s="38">
        <f>ROUND(H42*160,0)</f>
        <v>32</v>
      </c>
      <c r="N42" s="38">
        <f t="shared" si="5"/>
        <v>28</v>
      </c>
      <c r="O42" s="38" t="s">
        <v>32</v>
      </c>
      <c r="P42" s="38" t="s">
        <v>159</v>
      </c>
      <c r="Q42" s="38">
        <v>88.28</v>
      </c>
      <c r="R42" s="38">
        <v>6600</v>
      </c>
      <c r="S42" s="38">
        <v>4073</v>
      </c>
      <c r="T42" s="38" t="s">
        <v>160</v>
      </c>
      <c r="U42" s="38" t="s">
        <v>161</v>
      </c>
      <c r="V42" s="38" t="s">
        <v>97</v>
      </c>
      <c r="W42" s="38" t="s">
        <v>142</v>
      </c>
      <c r="X42" s="38" t="s">
        <v>162</v>
      </c>
      <c r="Y42" s="38" t="s">
        <v>45</v>
      </c>
      <c r="Z42" s="76"/>
    </row>
    <row r="43" s="2" customFormat="1" ht="65.25" customHeight="1" spans="1:26">
      <c r="A43" s="37">
        <v>22</v>
      </c>
      <c r="B43" s="38" t="s">
        <v>135</v>
      </c>
      <c r="C43" s="38" t="s">
        <v>35</v>
      </c>
      <c r="D43" s="38" t="s">
        <v>163</v>
      </c>
      <c r="E43" s="40">
        <v>497.7</v>
      </c>
      <c r="F43" s="38">
        <v>498.176</v>
      </c>
      <c r="G43" s="38" t="s">
        <v>164</v>
      </c>
      <c r="H43" s="38">
        <f t="shared" si="0"/>
        <v>0.475999999999999</v>
      </c>
      <c r="I43" s="38" t="s">
        <v>38</v>
      </c>
      <c r="J43" s="38">
        <v>9</v>
      </c>
      <c r="K43" s="38" t="s">
        <v>39</v>
      </c>
      <c r="L43" s="38" t="s">
        <v>165</v>
      </c>
      <c r="M43" s="38">
        <f>ROUND(H43*380,0)</f>
        <v>181</v>
      </c>
      <c r="N43" s="38">
        <f t="shared" si="5"/>
        <v>157</v>
      </c>
      <c r="O43" s="38" t="s">
        <v>30</v>
      </c>
      <c r="P43" s="38" t="s">
        <v>166</v>
      </c>
      <c r="Q43" s="38">
        <v>89.32</v>
      </c>
      <c r="R43" s="38">
        <v>8836</v>
      </c>
      <c r="S43" s="38">
        <v>4462</v>
      </c>
      <c r="T43" s="38" t="s">
        <v>167</v>
      </c>
      <c r="U43" s="38" t="s">
        <v>168</v>
      </c>
      <c r="V43" s="38" t="s">
        <v>97</v>
      </c>
      <c r="W43" s="38" t="s">
        <v>142</v>
      </c>
      <c r="X43" s="38" t="s">
        <v>169</v>
      </c>
      <c r="Y43" s="38" t="s">
        <v>45</v>
      </c>
      <c r="Z43" s="77"/>
    </row>
    <row r="44" s="2" customFormat="1" ht="72.75" customHeight="1" spans="1:26">
      <c r="A44" s="37">
        <v>23</v>
      </c>
      <c r="B44" s="39" t="s">
        <v>115</v>
      </c>
      <c r="C44" s="38" t="s">
        <v>78</v>
      </c>
      <c r="D44" s="38" t="s">
        <v>170</v>
      </c>
      <c r="E44" s="44">
        <v>476.696</v>
      </c>
      <c r="F44" s="44">
        <v>479.55</v>
      </c>
      <c r="G44" s="38" t="s">
        <v>171</v>
      </c>
      <c r="H44" s="38">
        <f t="shared" si="0"/>
        <v>2.85399999999998</v>
      </c>
      <c r="I44" s="38" t="s">
        <v>38</v>
      </c>
      <c r="J44" s="38">
        <v>9</v>
      </c>
      <c r="K44" s="38" t="s">
        <v>39</v>
      </c>
      <c r="L44" s="38" t="s">
        <v>172</v>
      </c>
      <c r="M44" s="38">
        <f>ROUND(H44*200,0)</f>
        <v>571</v>
      </c>
      <c r="N44" s="38">
        <f t="shared" si="5"/>
        <v>497</v>
      </c>
      <c r="O44" s="38" t="s">
        <v>31</v>
      </c>
      <c r="P44" s="38" t="s">
        <v>173</v>
      </c>
      <c r="Q44" s="38">
        <v>87.38</v>
      </c>
      <c r="R44" s="73">
        <v>12834</v>
      </c>
      <c r="S44" s="38">
        <v>9497</v>
      </c>
      <c r="T44" s="38" t="s">
        <v>131</v>
      </c>
      <c r="U44" s="38" t="s">
        <v>174</v>
      </c>
      <c r="V44" s="39"/>
      <c r="W44" s="39" t="s">
        <v>122</v>
      </c>
      <c r="X44" s="38" t="s">
        <v>175</v>
      </c>
      <c r="Y44" s="38" t="s">
        <v>45</v>
      </c>
      <c r="Z44" s="77"/>
    </row>
    <row r="45" s="2" customFormat="1" ht="76.5" customHeight="1" spans="1:26">
      <c r="A45" s="37">
        <v>24</v>
      </c>
      <c r="B45" s="39" t="s">
        <v>176</v>
      </c>
      <c r="C45" s="38" t="s">
        <v>102</v>
      </c>
      <c r="D45" s="49" t="s">
        <v>177</v>
      </c>
      <c r="E45" s="50">
        <v>2290.1</v>
      </c>
      <c r="F45" s="51">
        <v>2291</v>
      </c>
      <c r="G45" s="38" t="s">
        <v>178</v>
      </c>
      <c r="H45" s="38">
        <f t="shared" si="0"/>
        <v>0.900000000000091</v>
      </c>
      <c r="I45" s="38" t="s">
        <v>81</v>
      </c>
      <c r="J45" s="62">
        <v>8.25</v>
      </c>
      <c r="K45" s="38" t="s">
        <v>39</v>
      </c>
      <c r="L45" s="38" t="s">
        <v>179</v>
      </c>
      <c r="M45" s="60">
        <f>ROUND(H45*80/12*J45,0)</f>
        <v>50</v>
      </c>
      <c r="N45" s="38">
        <f t="shared" si="5"/>
        <v>44</v>
      </c>
      <c r="O45" s="38" t="s">
        <v>32</v>
      </c>
      <c r="P45" s="41" t="s">
        <v>180</v>
      </c>
      <c r="Q45" s="38">
        <v>86.45</v>
      </c>
      <c r="R45" s="74">
        <v>18785</v>
      </c>
      <c r="S45" s="74">
        <v>17250</v>
      </c>
      <c r="T45" s="41" t="s">
        <v>181</v>
      </c>
      <c r="U45" s="38" t="s">
        <v>182</v>
      </c>
      <c r="V45" s="41" t="s">
        <v>183</v>
      </c>
      <c r="W45" s="38" t="s">
        <v>184</v>
      </c>
      <c r="X45" s="38" t="s">
        <v>185</v>
      </c>
      <c r="Y45" s="38" t="s">
        <v>45</v>
      </c>
      <c r="Z45" s="85" t="s">
        <v>186</v>
      </c>
    </row>
    <row r="46" s="2" customFormat="1" ht="76.5" customHeight="1" spans="1:26">
      <c r="A46" s="37">
        <v>25</v>
      </c>
      <c r="B46" s="39" t="s">
        <v>176</v>
      </c>
      <c r="C46" s="38" t="s">
        <v>102</v>
      </c>
      <c r="D46" s="49" t="s">
        <v>177</v>
      </c>
      <c r="E46" s="50">
        <v>2290.1</v>
      </c>
      <c r="F46" s="39">
        <v>2290.662</v>
      </c>
      <c r="G46" s="38" t="s">
        <v>187</v>
      </c>
      <c r="H46" s="38">
        <f t="shared" si="0"/>
        <v>0.561999999999898</v>
      </c>
      <c r="I46" s="38" t="s">
        <v>81</v>
      </c>
      <c r="J46" s="62">
        <v>8.25</v>
      </c>
      <c r="K46" s="38" t="s">
        <v>39</v>
      </c>
      <c r="L46" s="38"/>
      <c r="M46" s="60">
        <f t="shared" ref="M46:M49" si="7">ROUND(H46*80/12*J46,0)</f>
        <v>31</v>
      </c>
      <c r="N46" s="38">
        <f t="shared" si="5"/>
        <v>27</v>
      </c>
      <c r="O46" s="38" t="s">
        <v>32</v>
      </c>
      <c r="P46" s="41" t="s">
        <v>180</v>
      </c>
      <c r="Q46" s="44">
        <v>86.45</v>
      </c>
      <c r="R46" s="74">
        <v>18785</v>
      </c>
      <c r="S46" s="74">
        <v>17250</v>
      </c>
      <c r="T46" s="41" t="s">
        <v>181</v>
      </c>
      <c r="U46" s="38" t="s">
        <v>182</v>
      </c>
      <c r="V46" s="41" t="s">
        <v>183</v>
      </c>
      <c r="W46" s="38" t="s">
        <v>184</v>
      </c>
      <c r="X46" s="38" t="s">
        <v>188</v>
      </c>
      <c r="Y46" s="38" t="s">
        <v>45</v>
      </c>
      <c r="Z46" s="85" t="s">
        <v>189</v>
      </c>
    </row>
    <row r="47" s="2" customFormat="1" ht="76.5" customHeight="1" spans="1:26">
      <c r="A47" s="37">
        <v>26</v>
      </c>
      <c r="B47" s="39" t="s">
        <v>176</v>
      </c>
      <c r="C47" s="38" t="s">
        <v>102</v>
      </c>
      <c r="D47" s="49" t="s">
        <v>177</v>
      </c>
      <c r="E47" s="50">
        <v>2295.46</v>
      </c>
      <c r="F47" s="39">
        <v>2296</v>
      </c>
      <c r="G47" s="38" t="s">
        <v>190</v>
      </c>
      <c r="H47" s="38">
        <f t="shared" si="0"/>
        <v>0.539999999999964</v>
      </c>
      <c r="I47" s="38" t="s">
        <v>81</v>
      </c>
      <c r="J47" s="62">
        <v>8.25</v>
      </c>
      <c r="K47" s="38" t="s">
        <v>39</v>
      </c>
      <c r="L47" s="38"/>
      <c r="M47" s="60">
        <f t="shared" si="7"/>
        <v>30</v>
      </c>
      <c r="N47" s="38">
        <f t="shared" si="5"/>
        <v>26</v>
      </c>
      <c r="O47" s="38" t="s">
        <v>32</v>
      </c>
      <c r="P47" s="41" t="s">
        <v>180</v>
      </c>
      <c r="Q47" s="38">
        <v>88.12</v>
      </c>
      <c r="R47" s="74">
        <v>18785</v>
      </c>
      <c r="S47" s="74">
        <v>17250</v>
      </c>
      <c r="T47" s="41" t="s">
        <v>181</v>
      </c>
      <c r="U47" s="38" t="s">
        <v>182</v>
      </c>
      <c r="V47" s="41" t="s">
        <v>183</v>
      </c>
      <c r="W47" s="38" t="s">
        <v>184</v>
      </c>
      <c r="X47" s="38" t="s">
        <v>191</v>
      </c>
      <c r="Y47" s="38" t="s">
        <v>45</v>
      </c>
      <c r="Z47" s="85" t="s">
        <v>189</v>
      </c>
    </row>
    <row r="48" s="2" customFormat="1" ht="76.5" customHeight="1" spans="1:26">
      <c r="A48" s="37">
        <v>27</v>
      </c>
      <c r="B48" s="39" t="s">
        <v>176</v>
      </c>
      <c r="C48" s="38" t="s">
        <v>102</v>
      </c>
      <c r="D48" s="49" t="s">
        <v>177</v>
      </c>
      <c r="E48" s="50">
        <v>2294.91</v>
      </c>
      <c r="F48" s="39">
        <v>2296</v>
      </c>
      <c r="G48" s="38" t="s">
        <v>192</v>
      </c>
      <c r="H48" s="38">
        <f t="shared" si="0"/>
        <v>1.09000000000015</v>
      </c>
      <c r="I48" s="38" t="s">
        <v>81</v>
      </c>
      <c r="J48" s="62">
        <v>8.25</v>
      </c>
      <c r="K48" s="38" t="s">
        <v>39</v>
      </c>
      <c r="L48" s="38"/>
      <c r="M48" s="60">
        <f t="shared" si="7"/>
        <v>60</v>
      </c>
      <c r="N48" s="38">
        <f t="shared" si="5"/>
        <v>52</v>
      </c>
      <c r="O48" s="38" t="s">
        <v>32</v>
      </c>
      <c r="P48" s="41" t="s">
        <v>180</v>
      </c>
      <c r="Q48" s="38">
        <v>88.12</v>
      </c>
      <c r="R48" s="74">
        <v>18785</v>
      </c>
      <c r="S48" s="74">
        <v>17250</v>
      </c>
      <c r="T48" s="41" t="s">
        <v>181</v>
      </c>
      <c r="U48" s="38" t="s">
        <v>182</v>
      </c>
      <c r="V48" s="41" t="s">
        <v>183</v>
      </c>
      <c r="W48" s="38" t="s">
        <v>184</v>
      </c>
      <c r="X48" s="38" t="s">
        <v>193</v>
      </c>
      <c r="Y48" s="38" t="s">
        <v>45</v>
      </c>
      <c r="Z48" s="85" t="s">
        <v>186</v>
      </c>
    </row>
    <row r="49" s="2" customFormat="1" ht="92.25" customHeight="1" spans="1:26">
      <c r="A49" s="37">
        <v>28</v>
      </c>
      <c r="B49" s="39" t="s">
        <v>176</v>
      </c>
      <c r="C49" s="38" t="s">
        <v>102</v>
      </c>
      <c r="D49" s="49" t="s">
        <v>177</v>
      </c>
      <c r="E49" s="50">
        <v>2296</v>
      </c>
      <c r="F49" s="39">
        <v>2303.481</v>
      </c>
      <c r="G49" s="38" t="s">
        <v>194</v>
      </c>
      <c r="H49" s="38">
        <f t="shared" si="0"/>
        <v>7.48100000000022</v>
      </c>
      <c r="I49" s="38" t="s">
        <v>81</v>
      </c>
      <c r="J49" s="63">
        <v>16.5</v>
      </c>
      <c r="K49" s="38" t="s">
        <v>39</v>
      </c>
      <c r="L49" s="38" t="s">
        <v>179</v>
      </c>
      <c r="M49" s="60">
        <f t="shared" si="7"/>
        <v>823</v>
      </c>
      <c r="N49" s="38">
        <f t="shared" si="5"/>
        <v>716</v>
      </c>
      <c r="O49" s="38" t="s">
        <v>32</v>
      </c>
      <c r="P49" s="41" t="s">
        <v>195</v>
      </c>
      <c r="Q49" s="38" t="s">
        <v>196</v>
      </c>
      <c r="R49" s="74">
        <v>18785</v>
      </c>
      <c r="S49" s="74">
        <v>17250</v>
      </c>
      <c r="T49" s="74" t="s">
        <v>197</v>
      </c>
      <c r="U49" s="74" t="s">
        <v>182</v>
      </c>
      <c r="V49" s="74" t="s">
        <v>183</v>
      </c>
      <c r="W49" s="74" t="s">
        <v>184</v>
      </c>
      <c r="X49" s="74" t="s">
        <v>198</v>
      </c>
      <c r="Y49" s="38" t="s">
        <v>45</v>
      </c>
      <c r="Z49" s="85" t="s">
        <v>199</v>
      </c>
    </row>
    <row r="50" s="2" customFormat="1" ht="78.95" customHeight="1" spans="1:26">
      <c r="A50" s="37">
        <v>29</v>
      </c>
      <c r="B50" s="39" t="s">
        <v>176</v>
      </c>
      <c r="C50" s="38" t="s">
        <v>102</v>
      </c>
      <c r="D50" s="38" t="s">
        <v>200</v>
      </c>
      <c r="E50" s="50">
        <v>2303.481</v>
      </c>
      <c r="F50" s="39">
        <v>2303.7</v>
      </c>
      <c r="G50" s="38" t="s">
        <v>201</v>
      </c>
      <c r="H50" s="38">
        <f t="shared" si="0"/>
        <v>0.218999999999596</v>
      </c>
      <c r="I50" s="38" t="s">
        <v>81</v>
      </c>
      <c r="J50" s="63">
        <v>32</v>
      </c>
      <c r="K50" s="38" t="s">
        <v>202</v>
      </c>
      <c r="L50" s="38" t="s">
        <v>203</v>
      </c>
      <c r="M50" s="60">
        <f>ROUND(H50*180/12*J50,0)</f>
        <v>105</v>
      </c>
      <c r="N50" s="38">
        <f t="shared" si="5"/>
        <v>91</v>
      </c>
      <c r="O50" s="38" t="s">
        <v>31</v>
      </c>
      <c r="P50" s="41" t="s">
        <v>204</v>
      </c>
      <c r="Q50" s="38">
        <v>79.29</v>
      </c>
      <c r="R50" s="74">
        <v>18785</v>
      </c>
      <c r="S50" s="74">
        <v>17250</v>
      </c>
      <c r="T50" s="38" t="s">
        <v>205</v>
      </c>
      <c r="U50" s="74" t="s">
        <v>206</v>
      </c>
      <c r="V50" s="38" t="s">
        <v>183</v>
      </c>
      <c r="W50" s="38" t="s">
        <v>184</v>
      </c>
      <c r="X50" s="38" t="s">
        <v>207</v>
      </c>
      <c r="Y50" s="38" t="s">
        <v>45</v>
      </c>
      <c r="Z50" s="85" t="s">
        <v>208</v>
      </c>
    </row>
    <row r="51" s="2" customFormat="1" ht="92.25" customHeight="1" spans="1:26">
      <c r="A51" s="37">
        <v>30</v>
      </c>
      <c r="B51" s="38" t="s">
        <v>209</v>
      </c>
      <c r="C51" s="38" t="s">
        <v>210</v>
      </c>
      <c r="D51" s="38" t="s">
        <v>211</v>
      </c>
      <c r="E51" s="38">
        <v>13</v>
      </c>
      <c r="F51" s="38">
        <v>14.2</v>
      </c>
      <c r="G51" s="38" t="s">
        <v>212</v>
      </c>
      <c r="H51" s="38">
        <f t="shared" si="0"/>
        <v>1.2</v>
      </c>
      <c r="I51" s="38" t="s">
        <v>38</v>
      </c>
      <c r="J51" s="38">
        <v>7.5</v>
      </c>
      <c r="K51" s="38" t="s">
        <v>39</v>
      </c>
      <c r="L51" s="41" t="s">
        <v>213</v>
      </c>
      <c r="M51" s="38">
        <f>H51*80</f>
        <v>96</v>
      </c>
      <c r="N51" s="38">
        <f t="shared" si="5"/>
        <v>84</v>
      </c>
      <c r="O51" s="38" t="s">
        <v>32</v>
      </c>
      <c r="P51" s="38" t="s">
        <v>214</v>
      </c>
      <c r="Q51" s="38" t="s">
        <v>215</v>
      </c>
      <c r="R51" s="38">
        <v>2003</v>
      </c>
      <c r="S51" s="38">
        <v>425</v>
      </c>
      <c r="T51" s="38" t="s">
        <v>216</v>
      </c>
      <c r="U51" s="38"/>
      <c r="V51" s="38" t="s">
        <v>183</v>
      </c>
      <c r="W51" s="38" t="s">
        <v>217</v>
      </c>
      <c r="X51" s="38" t="s">
        <v>218</v>
      </c>
      <c r="Y51" s="38" t="s">
        <v>45</v>
      </c>
      <c r="Z51" s="85"/>
    </row>
    <row r="52" s="2" customFormat="1" ht="92.25" customHeight="1" spans="1:26">
      <c r="A52" s="37">
        <v>31</v>
      </c>
      <c r="B52" s="38" t="s">
        <v>209</v>
      </c>
      <c r="C52" s="38" t="s">
        <v>210</v>
      </c>
      <c r="D52" s="38" t="s">
        <v>211</v>
      </c>
      <c r="E52" s="38">
        <v>12.006</v>
      </c>
      <c r="F52" s="38">
        <v>13</v>
      </c>
      <c r="G52" s="38" t="s">
        <v>212</v>
      </c>
      <c r="H52" s="38">
        <f t="shared" si="0"/>
        <v>0.994</v>
      </c>
      <c r="I52" s="38" t="s">
        <v>38</v>
      </c>
      <c r="J52" s="38">
        <v>7.5</v>
      </c>
      <c r="K52" s="38" t="s">
        <v>39</v>
      </c>
      <c r="L52" s="41" t="s">
        <v>213</v>
      </c>
      <c r="M52" s="38">
        <f>H52*80</f>
        <v>79.52</v>
      </c>
      <c r="N52" s="38">
        <f t="shared" si="5"/>
        <v>69</v>
      </c>
      <c r="O52" s="38" t="s">
        <v>32</v>
      </c>
      <c r="P52" s="38" t="s">
        <v>214</v>
      </c>
      <c r="Q52" s="38" t="s">
        <v>219</v>
      </c>
      <c r="R52" s="38">
        <v>2003</v>
      </c>
      <c r="S52" s="38">
        <v>425</v>
      </c>
      <c r="T52" s="38" t="s">
        <v>220</v>
      </c>
      <c r="U52" s="38" t="s">
        <v>221</v>
      </c>
      <c r="V52" s="38" t="s">
        <v>183</v>
      </c>
      <c r="W52" s="38" t="s">
        <v>217</v>
      </c>
      <c r="X52" s="38" t="s">
        <v>222</v>
      </c>
      <c r="Y52" s="38" t="s">
        <v>45</v>
      </c>
      <c r="Z52" s="85"/>
    </row>
    <row r="53" s="2" customFormat="1" ht="131.1" customHeight="1" spans="1:26">
      <c r="A53" s="37">
        <v>32</v>
      </c>
      <c r="B53" s="38" t="s">
        <v>223</v>
      </c>
      <c r="C53" s="38" t="s">
        <v>224</v>
      </c>
      <c r="D53" s="38" t="s">
        <v>225</v>
      </c>
      <c r="E53" s="41">
        <v>761.3</v>
      </c>
      <c r="F53" s="41">
        <v>761.533</v>
      </c>
      <c r="G53" s="38" t="s">
        <v>226</v>
      </c>
      <c r="H53" s="38">
        <f t="shared" si="0"/>
        <v>0.233000000000061</v>
      </c>
      <c r="I53" s="41" t="s">
        <v>227</v>
      </c>
      <c r="J53" s="64">
        <v>23</v>
      </c>
      <c r="K53" s="44" t="s">
        <v>39</v>
      </c>
      <c r="L53" s="41" t="s">
        <v>228</v>
      </c>
      <c r="M53" s="65">
        <f>H53*80</f>
        <v>19</v>
      </c>
      <c r="N53" s="38">
        <f>M53*0.9</f>
        <v>17.1</v>
      </c>
      <c r="O53" s="38" t="s">
        <v>31</v>
      </c>
      <c r="P53" s="38" t="s">
        <v>229</v>
      </c>
      <c r="Q53" s="38">
        <v>64.48</v>
      </c>
      <c r="R53" s="38">
        <v>4749</v>
      </c>
      <c r="S53" s="38">
        <v>1300</v>
      </c>
      <c r="T53" s="38" t="s">
        <v>230</v>
      </c>
      <c r="U53" s="38"/>
      <c r="V53" s="38"/>
      <c r="W53" s="38" t="s">
        <v>231</v>
      </c>
      <c r="X53" s="38" t="s">
        <v>124</v>
      </c>
      <c r="Y53" s="38" t="s">
        <v>232</v>
      </c>
      <c r="Z53" s="77" t="s">
        <v>124</v>
      </c>
    </row>
    <row r="54" s="2" customFormat="1" ht="42" customHeight="1" spans="1:26">
      <c r="A54" s="37">
        <v>33</v>
      </c>
      <c r="B54" s="38" t="s">
        <v>223</v>
      </c>
      <c r="C54" s="38" t="s">
        <v>62</v>
      </c>
      <c r="D54" s="38" t="s">
        <v>233</v>
      </c>
      <c r="E54" s="41">
        <v>840.136</v>
      </c>
      <c r="F54" s="41">
        <v>841</v>
      </c>
      <c r="G54" s="38" t="s">
        <v>234</v>
      </c>
      <c r="H54" s="38">
        <f t="shared" si="0"/>
        <v>0.864000000000033</v>
      </c>
      <c r="I54" s="41" t="s">
        <v>38</v>
      </c>
      <c r="J54" s="38">
        <v>12</v>
      </c>
      <c r="K54" s="44" t="s">
        <v>39</v>
      </c>
      <c r="L54" s="38" t="s">
        <v>228</v>
      </c>
      <c r="M54" s="65">
        <f>SUM(H54:H58)*80</f>
        <v>362</v>
      </c>
      <c r="N54" s="38">
        <v>314</v>
      </c>
      <c r="O54" s="38" t="s">
        <v>32</v>
      </c>
      <c r="P54" s="38" t="s">
        <v>235</v>
      </c>
      <c r="Q54" s="38">
        <v>87.4</v>
      </c>
      <c r="R54" s="38">
        <v>17228</v>
      </c>
      <c r="S54" s="38">
        <v>9805</v>
      </c>
      <c r="T54" s="38" t="s">
        <v>236</v>
      </c>
      <c r="U54" s="38" t="s">
        <v>97</v>
      </c>
      <c r="V54" s="38" t="s">
        <v>97</v>
      </c>
      <c r="W54" s="38" t="s">
        <v>231</v>
      </c>
      <c r="X54" s="38"/>
      <c r="Y54" s="38" t="s">
        <v>232</v>
      </c>
      <c r="Z54" s="77"/>
    </row>
    <row r="55" s="2" customFormat="1" ht="42" customHeight="1" spans="1:26">
      <c r="A55" s="37"/>
      <c r="B55" s="38"/>
      <c r="C55" s="38"/>
      <c r="D55" s="38"/>
      <c r="E55" s="41">
        <v>860.18</v>
      </c>
      <c r="F55" s="41">
        <v>860.904</v>
      </c>
      <c r="G55" s="38" t="s">
        <v>237</v>
      </c>
      <c r="H55" s="38">
        <f t="shared" si="0"/>
        <v>0.724000000000046</v>
      </c>
      <c r="I55" s="41"/>
      <c r="J55" s="38"/>
      <c r="K55" s="44"/>
      <c r="L55" s="38"/>
      <c r="M55" s="65"/>
      <c r="N55" s="38"/>
      <c r="O55" s="38" t="s">
        <v>32</v>
      </c>
      <c r="P55" s="38"/>
      <c r="Q55" s="38">
        <v>84.57</v>
      </c>
      <c r="R55" s="38"/>
      <c r="S55" s="38"/>
      <c r="T55" s="38" t="s">
        <v>238</v>
      </c>
      <c r="U55" s="38"/>
      <c r="V55" s="38"/>
      <c r="W55" s="38"/>
      <c r="X55" s="38"/>
      <c r="Y55" s="38"/>
      <c r="Z55" s="77"/>
    </row>
    <row r="56" s="4" customFormat="1" ht="42" customHeight="1" spans="1:26">
      <c r="A56" s="37"/>
      <c r="B56" s="38"/>
      <c r="C56" s="38"/>
      <c r="D56" s="38"/>
      <c r="E56" s="44">
        <v>862.68</v>
      </c>
      <c r="F56" s="41">
        <v>864</v>
      </c>
      <c r="G56" s="38"/>
      <c r="H56" s="38">
        <f t="shared" si="0"/>
        <v>1.32000000000005</v>
      </c>
      <c r="I56" s="41"/>
      <c r="J56" s="38"/>
      <c r="K56" s="44"/>
      <c r="L56" s="38"/>
      <c r="M56" s="65"/>
      <c r="N56" s="38"/>
      <c r="O56" s="38" t="s">
        <v>32</v>
      </c>
      <c r="P56" s="38"/>
      <c r="Q56" s="38">
        <v>86.41</v>
      </c>
      <c r="R56" s="38"/>
      <c r="S56" s="38"/>
      <c r="T56" s="38"/>
      <c r="U56" s="38"/>
      <c r="V56" s="38"/>
      <c r="W56" s="38"/>
      <c r="X56" s="38"/>
      <c r="Y56" s="38"/>
      <c r="Z56" s="85"/>
    </row>
    <row r="57" s="4" customFormat="1" ht="42" customHeight="1" spans="1:26">
      <c r="A57" s="37"/>
      <c r="B57" s="38"/>
      <c r="C57" s="38"/>
      <c r="D57" s="38"/>
      <c r="E57" s="44">
        <v>864</v>
      </c>
      <c r="F57" s="41">
        <v>865</v>
      </c>
      <c r="G57" s="38"/>
      <c r="H57" s="38">
        <f t="shared" si="0"/>
        <v>1</v>
      </c>
      <c r="I57" s="41"/>
      <c r="J57" s="38"/>
      <c r="K57" s="44"/>
      <c r="L57" s="38"/>
      <c r="M57" s="65"/>
      <c r="N57" s="38"/>
      <c r="O57" s="38" t="s">
        <v>32</v>
      </c>
      <c r="P57" s="38"/>
      <c r="Q57" s="38">
        <v>82.83</v>
      </c>
      <c r="R57" s="38"/>
      <c r="S57" s="38"/>
      <c r="T57" s="38"/>
      <c r="U57" s="38"/>
      <c r="V57" s="38"/>
      <c r="W57" s="38"/>
      <c r="X57" s="38"/>
      <c r="Y57" s="38"/>
      <c r="Z57" s="85"/>
    </row>
    <row r="58" s="4" customFormat="1" ht="42" customHeight="1" spans="1:26">
      <c r="A58" s="37"/>
      <c r="B58" s="38"/>
      <c r="C58" s="38"/>
      <c r="D58" s="38"/>
      <c r="E58" s="40">
        <v>866.18</v>
      </c>
      <c r="F58" s="40">
        <v>866.794</v>
      </c>
      <c r="G58" s="38"/>
      <c r="H58" s="38">
        <f t="shared" si="0"/>
        <v>0.614000000000033</v>
      </c>
      <c r="I58" s="41"/>
      <c r="J58" s="38"/>
      <c r="K58" s="44"/>
      <c r="L58" s="38"/>
      <c r="M58" s="65"/>
      <c r="N58" s="38"/>
      <c r="O58" s="38" t="s">
        <v>32</v>
      </c>
      <c r="P58" s="38"/>
      <c r="Q58" s="38">
        <v>81.7</v>
      </c>
      <c r="R58" s="38"/>
      <c r="S58" s="38"/>
      <c r="T58" s="38"/>
      <c r="U58" s="38"/>
      <c r="V58" s="38"/>
      <c r="W58" s="38"/>
      <c r="X58" s="38"/>
      <c r="Y58" s="38"/>
      <c r="Z58" s="85"/>
    </row>
    <row r="59" s="2" customFormat="1" ht="101.1" customHeight="1" spans="1:26">
      <c r="A59" s="37">
        <v>34</v>
      </c>
      <c r="B59" s="38" t="s">
        <v>239</v>
      </c>
      <c r="C59" s="38" t="s">
        <v>240</v>
      </c>
      <c r="D59" s="38" t="s">
        <v>241</v>
      </c>
      <c r="E59" s="38">
        <v>1891.421</v>
      </c>
      <c r="F59" s="38">
        <v>1892.737</v>
      </c>
      <c r="G59" s="38" t="s">
        <v>242</v>
      </c>
      <c r="H59" s="38"/>
      <c r="I59" s="38" t="s">
        <v>38</v>
      </c>
      <c r="J59" s="38">
        <v>12</v>
      </c>
      <c r="K59" s="38" t="s">
        <v>39</v>
      </c>
      <c r="L59" s="38" t="s">
        <v>243</v>
      </c>
      <c r="M59" s="43">
        <v>221.8262</v>
      </c>
      <c r="N59" s="43">
        <v>199.64358</v>
      </c>
      <c r="O59" s="38" t="s">
        <v>32</v>
      </c>
      <c r="P59" s="38" t="s">
        <v>244</v>
      </c>
      <c r="Q59" s="38">
        <v>91.6</v>
      </c>
      <c r="R59" s="38">
        <v>3560</v>
      </c>
      <c r="S59" s="38">
        <v>265</v>
      </c>
      <c r="T59" s="38" t="s">
        <v>245</v>
      </c>
      <c r="U59" s="38" t="s">
        <v>246</v>
      </c>
      <c r="V59" s="38"/>
      <c r="W59" s="38" t="s">
        <v>247</v>
      </c>
      <c r="X59" s="39"/>
      <c r="Y59" s="38" t="s">
        <v>248</v>
      </c>
      <c r="Z59" s="77"/>
    </row>
    <row r="60" s="2" customFormat="1" ht="101.1" customHeight="1" spans="1:26">
      <c r="A60" s="37"/>
      <c r="B60" s="38"/>
      <c r="C60" s="38"/>
      <c r="D60" s="38"/>
      <c r="E60" s="38">
        <v>1892.737</v>
      </c>
      <c r="F60" s="38">
        <v>1892.937</v>
      </c>
      <c r="G60" s="38" t="s">
        <v>242</v>
      </c>
      <c r="H60" s="38"/>
      <c r="I60" s="38" t="s">
        <v>38</v>
      </c>
      <c r="J60" s="38">
        <v>12</v>
      </c>
      <c r="K60" s="38" t="s">
        <v>39</v>
      </c>
      <c r="L60" s="38" t="s">
        <v>249</v>
      </c>
      <c r="M60" s="46"/>
      <c r="N60" s="46"/>
      <c r="O60" s="38" t="s">
        <v>32</v>
      </c>
      <c r="P60" s="38" t="s">
        <v>244</v>
      </c>
      <c r="Q60" s="38">
        <v>93.4</v>
      </c>
      <c r="R60" s="38">
        <v>3560</v>
      </c>
      <c r="S60" s="38">
        <v>265</v>
      </c>
      <c r="T60" s="38" t="s">
        <v>245</v>
      </c>
      <c r="U60" s="38" t="s">
        <v>246</v>
      </c>
      <c r="V60" s="38"/>
      <c r="W60" s="38" t="s">
        <v>247</v>
      </c>
      <c r="X60" s="39"/>
      <c r="Y60" s="38"/>
      <c r="Z60" s="77"/>
    </row>
    <row r="61" s="2" customFormat="1" ht="101.1" customHeight="1" spans="1:26">
      <c r="A61" s="37"/>
      <c r="B61" s="38"/>
      <c r="C61" s="38"/>
      <c r="D61" s="38"/>
      <c r="E61" s="38">
        <v>1892.937</v>
      </c>
      <c r="F61" s="38">
        <v>1893.337</v>
      </c>
      <c r="G61" s="38" t="s">
        <v>242</v>
      </c>
      <c r="H61" s="38"/>
      <c r="I61" s="38" t="s">
        <v>38</v>
      </c>
      <c r="J61" s="38">
        <v>12</v>
      </c>
      <c r="K61" s="38" t="s">
        <v>39</v>
      </c>
      <c r="L61" s="38" t="s">
        <v>250</v>
      </c>
      <c r="M61" s="46"/>
      <c r="N61" s="46"/>
      <c r="O61" s="38" t="s">
        <v>32</v>
      </c>
      <c r="P61" s="38" t="s">
        <v>244</v>
      </c>
      <c r="Q61" s="38">
        <v>92.39</v>
      </c>
      <c r="R61" s="38">
        <v>3560</v>
      </c>
      <c r="S61" s="38">
        <v>265</v>
      </c>
      <c r="T61" s="38" t="s">
        <v>245</v>
      </c>
      <c r="U61" s="38" t="s">
        <v>246</v>
      </c>
      <c r="V61" s="38"/>
      <c r="W61" s="38" t="s">
        <v>247</v>
      </c>
      <c r="X61" s="39"/>
      <c r="Y61" s="38"/>
      <c r="Z61" s="77"/>
    </row>
    <row r="62" s="2" customFormat="1" ht="101.1" customHeight="1" spans="1:26">
      <c r="A62" s="37"/>
      <c r="B62" s="38"/>
      <c r="C62" s="38"/>
      <c r="D62" s="38"/>
      <c r="E62" s="38">
        <v>1893.337</v>
      </c>
      <c r="F62" s="38">
        <v>1893.419</v>
      </c>
      <c r="G62" s="38" t="s">
        <v>251</v>
      </c>
      <c r="H62" s="38"/>
      <c r="I62" s="38" t="s">
        <v>38</v>
      </c>
      <c r="J62" s="38">
        <v>12</v>
      </c>
      <c r="K62" s="38" t="s">
        <v>39</v>
      </c>
      <c r="L62" s="38" t="s">
        <v>243</v>
      </c>
      <c r="M62" s="46"/>
      <c r="N62" s="46"/>
      <c r="O62" s="38" t="s">
        <v>32</v>
      </c>
      <c r="P62" s="38" t="s">
        <v>244</v>
      </c>
      <c r="Q62" s="38">
        <v>89.4</v>
      </c>
      <c r="R62" s="38">
        <v>3560</v>
      </c>
      <c r="S62" s="38">
        <v>265</v>
      </c>
      <c r="T62" s="38" t="s">
        <v>245</v>
      </c>
      <c r="U62" s="38" t="s">
        <v>246</v>
      </c>
      <c r="V62" s="38"/>
      <c r="W62" s="38" t="s">
        <v>247</v>
      </c>
      <c r="X62" s="39"/>
      <c r="Y62" s="38"/>
      <c r="Z62" s="77"/>
    </row>
    <row r="63" s="2" customFormat="1" ht="101.1" customHeight="1" spans="1:26">
      <c r="A63" s="37"/>
      <c r="B63" s="38"/>
      <c r="C63" s="38"/>
      <c r="D63" s="38"/>
      <c r="E63" s="38">
        <v>1893.419</v>
      </c>
      <c r="F63" s="44">
        <v>1893.54</v>
      </c>
      <c r="G63" s="38" t="s">
        <v>251</v>
      </c>
      <c r="H63" s="38"/>
      <c r="I63" s="38" t="s">
        <v>38</v>
      </c>
      <c r="J63" s="38">
        <v>12</v>
      </c>
      <c r="K63" s="38" t="s">
        <v>39</v>
      </c>
      <c r="L63" s="38" t="s">
        <v>243</v>
      </c>
      <c r="M63" s="48"/>
      <c r="N63" s="48"/>
      <c r="O63" s="38" t="s">
        <v>32</v>
      </c>
      <c r="P63" s="38" t="s">
        <v>244</v>
      </c>
      <c r="Q63" s="38">
        <v>90.97</v>
      </c>
      <c r="R63" s="38">
        <v>3560</v>
      </c>
      <c r="S63" s="38">
        <v>265</v>
      </c>
      <c r="T63" s="38" t="s">
        <v>245</v>
      </c>
      <c r="U63" s="38" t="s">
        <v>246</v>
      </c>
      <c r="V63" s="38"/>
      <c r="W63" s="38" t="s">
        <v>247</v>
      </c>
      <c r="X63" s="39"/>
      <c r="Y63" s="38"/>
      <c r="Z63" s="77"/>
    </row>
    <row r="64" s="2" customFormat="1" ht="84.95" customHeight="1" spans="1:26">
      <c r="A64" s="37">
        <v>35</v>
      </c>
      <c r="B64" s="38" t="s">
        <v>252</v>
      </c>
      <c r="C64" s="38" t="s">
        <v>240</v>
      </c>
      <c r="D64" s="38" t="s">
        <v>253</v>
      </c>
      <c r="E64" s="38">
        <v>1957</v>
      </c>
      <c r="F64" s="38">
        <v>1958.8</v>
      </c>
      <c r="G64" s="38" t="s">
        <v>254</v>
      </c>
      <c r="H64" s="38">
        <f t="shared" si="0"/>
        <v>1.79999999999995</v>
      </c>
      <c r="I64" s="38" t="s">
        <v>255</v>
      </c>
      <c r="J64" s="38" t="s">
        <v>256</v>
      </c>
      <c r="K64" s="38" t="s">
        <v>39</v>
      </c>
      <c r="L64" s="38" t="s">
        <v>257</v>
      </c>
      <c r="M64" s="38">
        <f>H64*80</f>
        <v>143.999999999996</v>
      </c>
      <c r="N64" s="38">
        <f t="shared" ref="N60:N70" si="8">M64*0.9</f>
        <v>129.599999999996</v>
      </c>
      <c r="O64" s="38" t="s">
        <v>32</v>
      </c>
      <c r="P64" s="38" t="s">
        <v>258</v>
      </c>
      <c r="Q64" s="38">
        <v>90.95</v>
      </c>
      <c r="R64" s="38">
        <v>3468</v>
      </c>
      <c r="S64" s="38">
        <v>3468</v>
      </c>
      <c r="T64" s="38" t="s">
        <v>259</v>
      </c>
      <c r="U64" s="38" t="s">
        <v>260</v>
      </c>
      <c r="V64" s="38"/>
      <c r="W64" s="38" t="s">
        <v>261</v>
      </c>
      <c r="X64" s="38" t="s">
        <v>262</v>
      </c>
      <c r="Y64" s="38" t="s">
        <v>263</v>
      </c>
      <c r="Z64" s="77"/>
    </row>
    <row r="65" s="2" customFormat="1" ht="60" customHeight="1" spans="1:26">
      <c r="A65" s="37"/>
      <c r="B65" s="38"/>
      <c r="C65" s="38"/>
      <c r="D65" s="38"/>
      <c r="E65" s="38">
        <v>1973</v>
      </c>
      <c r="F65" s="38">
        <v>1974</v>
      </c>
      <c r="G65" s="38" t="s">
        <v>264</v>
      </c>
      <c r="H65" s="38">
        <f t="shared" si="0"/>
        <v>1</v>
      </c>
      <c r="I65" s="38" t="s">
        <v>255</v>
      </c>
      <c r="J65" s="38" t="s">
        <v>256</v>
      </c>
      <c r="K65" s="38" t="s">
        <v>39</v>
      </c>
      <c r="L65" s="38" t="s">
        <v>265</v>
      </c>
      <c r="M65" s="38">
        <v>80</v>
      </c>
      <c r="N65" s="38">
        <f t="shared" si="8"/>
        <v>72</v>
      </c>
      <c r="O65" s="38" t="s">
        <v>32</v>
      </c>
      <c r="P65" s="38" t="s">
        <v>266</v>
      </c>
      <c r="Q65" s="38">
        <v>90.19</v>
      </c>
      <c r="R65" s="38">
        <v>3468</v>
      </c>
      <c r="S65" s="38">
        <v>3468</v>
      </c>
      <c r="T65" s="38" t="s">
        <v>267</v>
      </c>
      <c r="U65" s="38" t="s">
        <v>260</v>
      </c>
      <c r="V65" s="38"/>
      <c r="W65" s="38" t="s">
        <v>261</v>
      </c>
      <c r="X65" s="38" t="s">
        <v>268</v>
      </c>
      <c r="Y65" s="38"/>
      <c r="Z65" s="77"/>
    </row>
    <row r="66" s="2" customFormat="1" ht="59.1" customHeight="1" spans="1:26">
      <c r="A66" s="37"/>
      <c r="B66" s="38"/>
      <c r="C66" s="38"/>
      <c r="D66" s="38"/>
      <c r="E66" s="38">
        <v>1972.6</v>
      </c>
      <c r="F66" s="38">
        <v>1974.94</v>
      </c>
      <c r="G66" s="38" t="s">
        <v>264</v>
      </c>
      <c r="H66" s="38">
        <f t="shared" si="0"/>
        <v>2.34000000000015</v>
      </c>
      <c r="I66" s="38" t="s">
        <v>255</v>
      </c>
      <c r="J66" s="38" t="s">
        <v>269</v>
      </c>
      <c r="K66" s="38" t="s">
        <v>39</v>
      </c>
      <c r="L66" s="38" t="s">
        <v>265</v>
      </c>
      <c r="M66" s="38">
        <v>80</v>
      </c>
      <c r="N66" s="38">
        <f t="shared" si="8"/>
        <v>72</v>
      </c>
      <c r="O66" s="38" t="s">
        <v>32</v>
      </c>
      <c r="P66" s="38" t="s">
        <v>270</v>
      </c>
      <c r="Q66" s="38">
        <v>87.87</v>
      </c>
      <c r="R66" s="38">
        <v>3468</v>
      </c>
      <c r="S66" s="38">
        <v>3468</v>
      </c>
      <c r="T66" s="38" t="s">
        <v>271</v>
      </c>
      <c r="U66" s="38" t="s">
        <v>260</v>
      </c>
      <c r="V66" s="38"/>
      <c r="W66" s="38" t="s">
        <v>261</v>
      </c>
      <c r="X66" s="38" t="s">
        <v>272</v>
      </c>
      <c r="Y66" s="38"/>
      <c r="Z66" s="77"/>
    </row>
    <row r="67" s="2" customFormat="1" ht="38.1" customHeight="1" spans="1:26">
      <c r="A67" s="37">
        <v>36</v>
      </c>
      <c r="B67" s="38" t="s">
        <v>273</v>
      </c>
      <c r="C67" s="38" t="s">
        <v>78</v>
      </c>
      <c r="D67" s="38" t="s">
        <v>274</v>
      </c>
      <c r="E67" s="38">
        <v>362.089</v>
      </c>
      <c r="F67" s="38">
        <v>371.01</v>
      </c>
      <c r="G67" s="38" t="s">
        <v>275</v>
      </c>
      <c r="H67" s="38">
        <f t="shared" si="0"/>
        <v>8.92099999999999</v>
      </c>
      <c r="I67" s="38" t="s">
        <v>38</v>
      </c>
      <c r="J67" s="38">
        <v>9</v>
      </c>
      <c r="K67" s="38" t="s">
        <v>39</v>
      </c>
      <c r="L67" s="38" t="s">
        <v>276</v>
      </c>
      <c r="M67" s="38">
        <f>H67*80</f>
        <v>713.679999999999</v>
      </c>
      <c r="N67" s="38">
        <f t="shared" si="8"/>
        <v>642.311999999999</v>
      </c>
      <c r="O67" s="38" t="s">
        <v>32</v>
      </c>
      <c r="P67" s="38" t="s">
        <v>277</v>
      </c>
      <c r="Q67" s="38">
        <v>89.75</v>
      </c>
      <c r="R67" s="38">
        <v>3233</v>
      </c>
      <c r="S67" s="38">
        <v>678</v>
      </c>
      <c r="T67" s="38" t="s">
        <v>278</v>
      </c>
      <c r="U67" s="38">
        <v>2017</v>
      </c>
      <c r="V67" s="38"/>
      <c r="W67" s="38" t="s">
        <v>279</v>
      </c>
      <c r="X67" s="39" t="s">
        <v>280</v>
      </c>
      <c r="Y67" s="38" t="s">
        <v>281</v>
      </c>
      <c r="Z67" s="77"/>
    </row>
    <row r="68" s="2" customFormat="1" ht="38.1" customHeight="1" spans="1:26">
      <c r="A68" s="37"/>
      <c r="B68" s="38"/>
      <c r="C68" s="38"/>
      <c r="D68" s="38"/>
      <c r="E68" s="38">
        <v>389.43</v>
      </c>
      <c r="F68" s="38">
        <v>392.5</v>
      </c>
      <c r="G68" s="38" t="s">
        <v>282</v>
      </c>
      <c r="H68" s="38">
        <f t="shared" si="0"/>
        <v>3.06999999999999</v>
      </c>
      <c r="I68" s="38" t="s">
        <v>38</v>
      </c>
      <c r="J68" s="38">
        <v>9</v>
      </c>
      <c r="K68" s="38" t="s">
        <v>39</v>
      </c>
      <c r="L68" s="38" t="s">
        <v>276</v>
      </c>
      <c r="M68" s="38">
        <f t="shared" ref="M68:M70" si="9">H68*80</f>
        <v>245.599999999999</v>
      </c>
      <c r="N68" s="38">
        <f t="shared" si="8"/>
        <v>221.039999999999</v>
      </c>
      <c r="O68" s="38" t="s">
        <v>32</v>
      </c>
      <c r="P68" s="38" t="s">
        <v>277</v>
      </c>
      <c r="Q68" s="38">
        <v>91.95</v>
      </c>
      <c r="R68" s="38">
        <v>4475</v>
      </c>
      <c r="S68" s="38">
        <v>736</v>
      </c>
      <c r="T68" s="38" t="s">
        <v>278</v>
      </c>
      <c r="U68" s="38">
        <v>2017</v>
      </c>
      <c r="V68" s="38"/>
      <c r="W68" s="38" t="s">
        <v>279</v>
      </c>
      <c r="X68" s="39"/>
      <c r="Y68" s="38"/>
      <c r="Z68" s="77"/>
    </row>
    <row r="69" s="2" customFormat="1" ht="38.1" customHeight="1" spans="1:26">
      <c r="A69" s="37"/>
      <c r="B69" s="38"/>
      <c r="C69" s="38"/>
      <c r="D69" s="38"/>
      <c r="E69" s="38">
        <v>401.7</v>
      </c>
      <c r="F69" s="38">
        <v>403.4</v>
      </c>
      <c r="G69" s="38" t="s">
        <v>282</v>
      </c>
      <c r="H69" s="38">
        <f t="shared" si="0"/>
        <v>1.69999999999999</v>
      </c>
      <c r="I69" s="38" t="s">
        <v>38</v>
      </c>
      <c r="J69" s="38">
        <v>9</v>
      </c>
      <c r="K69" s="38" t="s">
        <v>39</v>
      </c>
      <c r="L69" s="38" t="s">
        <v>283</v>
      </c>
      <c r="M69" s="38">
        <f t="shared" si="9"/>
        <v>135.999999999999</v>
      </c>
      <c r="N69" s="38">
        <f t="shared" si="8"/>
        <v>122.399999999999</v>
      </c>
      <c r="O69" s="38" t="s">
        <v>32</v>
      </c>
      <c r="P69" s="38" t="s">
        <v>277</v>
      </c>
      <c r="Q69" s="38">
        <v>93.57</v>
      </c>
      <c r="R69" s="38">
        <v>4475</v>
      </c>
      <c r="S69" s="38">
        <v>736</v>
      </c>
      <c r="T69" s="38" t="s">
        <v>284</v>
      </c>
      <c r="U69" s="38">
        <v>2015</v>
      </c>
      <c r="V69" s="38"/>
      <c r="W69" s="38" t="s">
        <v>279</v>
      </c>
      <c r="X69" s="39"/>
      <c r="Y69" s="38"/>
      <c r="Z69" s="77"/>
    </row>
    <row r="70" s="4" customFormat="1" ht="63" customHeight="1" spans="1:26">
      <c r="A70" s="37">
        <v>37</v>
      </c>
      <c r="B70" s="38" t="s">
        <v>285</v>
      </c>
      <c r="C70" s="86" t="s">
        <v>286</v>
      </c>
      <c r="D70" s="38" t="s">
        <v>287</v>
      </c>
      <c r="E70" s="38">
        <v>1.634</v>
      </c>
      <c r="F70" s="38">
        <v>3</v>
      </c>
      <c r="G70" s="38" t="s">
        <v>288</v>
      </c>
      <c r="H70" s="38">
        <f t="shared" si="0"/>
        <v>1.366</v>
      </c>
      <c r="I70" s="86" t="s">
        <v>289</v>
      </c>
      <c r="J70" s="38">
        <v>6.5</v>
      </c>
      <c r="K70" s="38" t="s">
        <v>39</v>
      </c>
      <c r="L70" s="38" t="s">
        <v>290</v>
      </c>
      <c r="M70" s="38">
        <f t="shared" si="9"/>
        <v>109.28</v>
      </c>
      <c r="N70" s="38">
        <f t="shared" si="8"/>
        <v>98.352</v>
      </c>
      <c r="O70" s="38" t="s">
        <v>32</v>
      </c>
      <c r="P70" s="38" t="s">
        <v>291</v>
      </c>
      <c r="Q70" s="38">
        <v>89.67</v>
      </c>
      <c r="R70" s="38">
        <v>10198</v>
      </c>
      <c r="S70" s="38">
        <v>1296</v>
      </c>
      <c r="T70" s="38" t="s">
        <v>292</v>
      </c>
      <c r="U70" s="38" t="s">
        <v>293</v>
      </c>
      <c r="V70" s="38"/>
      <c r="W70" s="38" t="s">
        <v>294</v>
      </c>
      <c r="X70" s="38"/>
      <c r="Y70" s="38" t="s">
        <v>295</v>
      </c>
      <c r="Z70" s="85"/>
    </row>
    <row r="71" s="2" customFormat="1" ht="38.1" customHeight="1" spans="1:26">
      <c r="A71" s="37">
        <v>38</v>
      </c>
      <c r="B71" s="38" t="s">
        <v>273</v>
      </c>
      <c r="C71" s="38" t="s">
        <v>240</v>
      </c>
      <c r="D71" s="38" t="s">
        <v>296</v>
      </c>
      <c r="E71" s="38">
        <v>2070.224</v>
      </c>
      <c r="F71" s="38">
        <v>2070.868</v>
      </c>
      <c r="G71" s="38" t="s">
        <v>297</v>
      </c>
      <c r="H71" s="38">
        <f t="shared" si="0"/>
        <v>0.643999999999778</v>
      </c>
      <c r="I71" s="38" t="s">
        <v>38</v>
      </c>
      <c r="J71" s="38">
        <v>10.5</v>
      </c>
      <c r="K71" s="38" t="s">
        <v>39</v>
      </c>
      <c r="L71" s="38" t="s">
        <v>298</v>
      </c>
      <c r="M71" s="38">
        <f>H71*70</f>
        <v>45.0799999999845</v>
      </c>
      <c r="N71" s="64">
        <f>M71*0.88</f>
        <v>39.7</v>
      </c>
      <c r="O71" s="38" t="s">
        <v>32</v>
      </c>
      <c r="P71" s="38" t="s">
        <v>299</v>
      </c>
      <c r="Q71" s="38">
        <v>85.29</v>
      </c>
      <c r="R71" s="38">
        <v>13353</v>
      </c>
      <c r="S71" s="38">
        <v>2258</v>
      </c>
      <c r="T71" s="38" t="s">
        <v>245</v>
      </c>
      <c r="U71" s="38">
        <v>2023</v>
      </c>
      <c r="V71" s="38"/>
      <c r="W71" s="38" t="s">
        <v>279</v>
      </c>
      <c r="X71" s="39"/>
      <c r="Y71" s="38" t="s">
        <v>45</v>
      </c>
      <c r="Z71" s="77"/>
    </row>
    <row r="72" s="2" customFormat="1" ht="38.1" customHeight="1" spans="1:26">
      <c r="A72" s="37"/>
      <c r="B72" s="38"/>
      <c r="C72" s="38"/>
      <c r="D72" s="38"/>
      <c r="E72" s="38">
        <v>2070.868</v>
      </c>
      <c r="F72" s="38">
        <v>2071.1</v>
      </c>
      <c r="G72" s="38" t="s">
        <v>297</v>
      </c>
      <c r="H72" s="38">
        <f t="shared" si="0"/>
        <v>0.231999999999971</v>
      </c>
      <c r="I72" s="38" t="s">
        <v>38</v>
      </c>
      <c r="J72" s="38">
        <v>9</v>
      </c>
      <c r="K72" s="38" t="s">
        <v>39</v>
      </c>
      <c r="L72" s="38" t="s">
        <v>298</v>
      </c>
      <c r="M72" s="38">
        <f>H72*80</f>
        <v>18.5599999999977</v>
      </c>
      <c r="N72" s="64">
        <f>M72*0.88</f>
        <v>16.3</v>
      </c>
      <c r="O72" s="38" t="s">
        <v>32</v>
      </c>
      <c r="P72" s="38" t="s">
        <v>299</v>
      </c>
      <c r="Q72" s="38">
        <v>69.25</v>
      </c>
      <c r="R72" s="38">
        <v>13353</v>
      </c>
      <c r="S72" s="38">
        <v>2258</v>
      </c>
      <c r="T72" s="38" t="s">
        <v>245</v>
      </c>
      <c r="U72" s="38">
        <v>2023</v>
      </c>
      <c r="V72" s="38"/>
      <c r="W72" s="38" t="s">
        <v>279</v>
      </c>
      <c r="X72" s="39"/>
      <c r="Y72" s="38"/>
      <c r="Z72" s="77"/>
    </row>
    <row r="73" s="2" customFormat="1" ht="38.1" customHeight="1" spans="1:26">
      <c r="A73" s="37">
        <v>39</v>
      </c>
      <c r="B73" s="39" t="s">
        <v>300</v>
      </c>
      <c r="C73" s="38" t="s">
        <v>89</v>
      </c>
      <c r="D73" s="38" t="s">
        <v>301</v>
      </c>
      <c r="E73" s="38">
        <v>181</v>
      </c>
      <c r="F73" s="38">
        <v>183</v>
      </c>
      <c r="G73" s="38" t="s">
        <v>302</v>
      </c>
      <c r="H73" s="38">
        <f t="shared" si="0"/>
        <v>2</v>
      </c>
      <c r="I73" s="38" t="s">
        <v>38</v>
      </c>
      <c r="J73" s="38">
        <v>12</v>
      </c>
      <c r="K73" s="38" t="s">
        <v>39</v>
      </c>
      <c r="L73" s="38" t="s">
        <v>298</v>
      </c>
      <c r="M73" s="38">
        <f t="shared" ref="M73" si="10">H73*80</f>
        <v>160</v>
      </c>
      <c r="N73" s="64">
        <f t="shared" ref="N73:N74" si="11">M73*0.88</f>
        <v>140.8</v>
      </c>
      <c r="O73" s="38" t="s">
        <v>32</v>
      </c>
      <c r="P73" s="38" t="s">
        <v>299</v>
      </c>
      <c r="Q73" s="38">
        <v>86.16</v>
      </c>
      <c r="R73" s="38">
        <v>13056</v>
      </c>
      <c r="S73" s="38">
        <v>1656</v>
      </c>
      <c r="T73" s="38" t="s">
        <v>245</v>
      </c>
      <c r="U73" s="38"/>
      <c r="V73" s="38"/>
      <c r="W73" s="38" t="s">
        <v>303</v>
      </c>
      <c r="X73" s="39"/>
      <c r="Y73" s="38" t="s">
        <v>304</v>
      </c>
      <c r="Z73" s="77"/>
    </row>
    <row r="74" s="2" customFormat="1" ht="38.1" customHeight="1" spans="1:26">
      <c r="A74" s="37">
        <v>40</v>
      </c>
      <c r="B74" s="39" t="s">
        <v>61</v>
      </c>
      <c r="C74" s="38" t="s">
        <v>305</v>
      </c>
      <c r="D74" s="38" t="s">
        <v>306</v>
      </c>
      <c r="E74" s="38">
        <v>374.183</v>
      </c>
      <c r="F74" s="38">
        <v>391.558</v>
      </c>
      <c r="G74" s="38" t="s">
        <v>307</v>
      </c>
      <c r="H74" s="38">
        <f t="shared" si="0"/>
        <v>17.375</v>
      </c>
      <c r="I74" s="38" t="s">
        <v>308</v>
      </c>
      <c r="J74" s="38">
        <v>6</v>
      </c>
      <c r="K74" s="38" t="s">
        <v>309</v>
      </c>
      <c r="L74" s="38" t="s">
        <v>310</v>
      </c>
      <c r="M74" s="38">
        <f>H74*70</f>
        <v>1216.25</v>
      </c>
      <c r="N74" s="64">
        <f t="shared" si="11"/>
        <v>1070.3</v>
      </c>
      <c r="O74" s="38" t="s">
        <v>31</v>
      </c>
      <c r="P74" s="38" t="s">
        <v>311</v>
      </c>
      <c r="Q74" s="38">
        <v>82.198</v>
      </c>
      <c r="R74" s="38">
        <v>2500</v>
      </c>
      <c r="S74" s="38"/>
      <c r="T74" s="38" t="s">
        <v>312</v>
      </c>
      <c r="U74" s="38" t="s">
        <v>313</v>
      </c>
      <c r="V74" s="38"/>
      <c r="W74" s="38" t="s">
        <v>67</v>
      </c>
      <c r="X74" s="39"/>
      <c r="Y74" s="38" t="s">
        <v>314</v>
      </c>
      <c r="Z74" s="77"/>
    </row>
    <row r="75" s="2" customFormat="1" ht="38.1" customHeight="1" spans="1:26">
      <c r="A75" s="12" t="s">
        <v>315</v>
      </c>
      <c r="B75" s="13"/>
      <c r="C75" s="13"/>
      <c r="D75" s="13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9"/>
      <c r="Y75" s="38"/>
      <c r="Z75" s="77"/>
    </row>
    <row r="76" s="2" customFormat="1" ht="38.1" customHeight="1" spans="1:26">
      <c r="A76" s="37">
        <v>1</v>
      </c>
      <c r="B76" s="38" t="s">
        <v>252</v>
      </c>
      <c r="C76" s="38" t="s">
        <v>62</v>
      </c>
      <c r="D76" s="38" t="s">
        <v>316</v>
      </c>
      <c r="E76" s="38">
        <v>760.743</v>
      </c>
      <c r="F76" s="38">
        <v>764.429</v>
      </c>
      <c r="G76" s="38" t="s">
        <v>317</v>
      </c>
      <c r="H76" s="38">
        <f>F76-E76</f>
        <v>3.68599999999992</v>
      </c>
      <c r="I76" s="38" t="s">
        <v>38</v>
      </c>
      <c r="J76" s="38">
        <v>12</v>
      </c>
      <c r="K76" s="38" t="s">
        <v>318</v>
      </c>
      <c r="L76" s="38" t="s">
        <v>319</v>
      </c>
      <c r="M76" s="38">
        <f>10*H76</f>
        <v>36.8599999999992</v>
      </c>
      <c r="N76" s="64">
        <f>M76*0.9</f>
        <v>33.2</v>
      </c>
      <c r="O76" s="38" t="s">
        <v>32</v>
      </c>
      <c r="P76" s="38" t="s">
        <v>320</v>
      </c>
      <c r="Q76" s="38">
        <v>95.32</v>
      </c>
      <c r="R76" s="38">
        <v>5600</v>
      </c>
      <c r="S76" s="38">
        <v>5600</v>
      </c>
      <c r="T76" s="38" t="s">
        <v>321</v>
      </c>
      <c r="U76" s="38" t="s">
        <v>322</v>
      </c>
      <c r="V76" s="38"/>
      <c r="W76" s="38" t="s">
        <v>261</v>
      </c>
      <c r="X76" s="39" t="s">
        <v>323</v>
      </c>
      <c r="Y76" s="38"/>
      <c r="Z76" s="77"/>
    </row>
    <row r="77" s="2" customFormat="1" ht="38.1" customHeight="1" spans="1:26">
      <c r="A77" s="37">
        <v>2</v>
      </c>
      <c r="B77" s="38" t="s">
        <v>324</v>
      </c>
      <c r="C77" s="38" t="s">
        <v>325</v>
      </c>
      <c r="D77" s="38" t="s">
        <v>326</v>
      </c>
      <c r="E77" s="38">
        <v>549.957</v>
      </c>
      <c r="F77" s="38">
        <v>560</v>
      </c>
      <c r="G77" s="38" t="s">
        <v>327</v>
      </c>
      <c r="H77" s="38">
        <f>F77-E77</f>
        <v>10.043</v>
      </c>
      <c r="I77" s="38" t="s">
        <v>38</v>
      </c>
      <c r="J77" s="38">
        <v>9</v>
      </c>
      <c r="K77" s="38" t="s">
        <v>318</v>
      </c>
      <c r="L77" s="38" t="s">
        <v>328</v>
      </c>
      <c r="M77" s="38">
        <f>12*H77</f>
        <v>120.516</v>
      </c>
      <c r="N77" s="64">
        <f>M77*0.9</f>
        <v>108.5</v>
      </c>
      <c r="O77" s="38" t="s">
        <v>32</v>
      </c>
      <c r="P77" s="38" t="s">
        <v>329</v>
      </c>
      <c r="Q77" s="38">
        <v>92.35</v>
      </c>
      <c r="R77" s="38">
        <v>3187</v>
      </c>
      <c r="S77" s="38">
        <v>3187</v>
      </c>
      <c r="T77" s="38" t="s">
        <v>321</v>
      </c>
      <c r="U77" s="38" t="s">
        <v>322</v>
      </c>
      <c r="V77" s="38"/>
      <c r="W77" s="38" t="s">
        <v>330</v>
      </c>
      <c r="X77" s="39" t="s">
        <v>323</v>
      </c>
      <c r="Y77" s="38"/>
      <c r="Z77" s="77"/>
    </row>
    <row r="78" s="2" customFormat="1" ht="38.1" customHeight="1" spans="1:26">
      <c r="A78" s="37">
        <v>3</v>
      </c>
      <c r="B78" s="38" t="s">
        <v>176</v>
      </c>
      <c r="C78" s="38" t="s">
        <v>331</v>
      </c>
      <c r="D78" s="38" t="s">
        <v>332</v>
      </c>
      <c r="E78" s="38">
        <v>48.614</v>
      </c>
      <c r="F78" s="38">
        <v>65.079</v>
      </c>
      <c r="G78" s="38" t="s">
        <v>333</v>
      </c>
      <c r="H78" s="38">
        <f>F78-E78</f>
        <v>16.465</v>
      </c>
      <c r="I78" s="38" t="s">
        <v>38</v>
      </c>
      <c r="J78" s="38">
        <v>12</v>
      </c>
      <c r="K78" s="38" t="s">
        <v>318</v>
      </c>
      <c r="L78" s="38" t="s">
        <v>334</v>
      </c>
      <c r="M78" s="38">
        <f>20*H78</f>
        <v>329.3</v>
      </c>
      <c r="N78" s="64">
        <f t="shared" ref="N78" si="12">M78*0.9</f>
        <v>296.4</v>
      </c>
      <c r="O78" s="38" t="s">
        <v>32</v>
      </c>
      <c r="P78" s="38" t="s">
        <v>329</v>
      </c>
      <c r="Q78" s="38">
        <v>86</v>
      </c>
      <c r="R78" s="38">
        <v>5784</v>
      </c>
      <c r="S78" s="38">
        <v>5784</v>
      </c>
      <c r="T78" s="38" t="s">
        <v>335</v>
      </c>
      <c r="U78" s="38" t="s">
        <v>293</v>
      </c>
      <c r="V78" s="38"/>
      <c r="W78" s="38" t="s">
        <v>184</v>
      </c>
      <c r="X78" s="39" t="s">
        <v>323</v>
      </c>
      <c r="Y78" s="38"/>
      <c r="Z78" s="77"/>
    </row>
    <row r="79" s="2" customFormat="1" ht="38.1" customHeight="1" spans="1:26">
      <c r="A79" s="87" t="s">
        <v>336</v>
      </c>
      <c r="B79" s="88"/>
      <c r="C79" s="88"/>
      <c r="D79" s="89"/>
      <c r="E79" s="38"/>
      <c r="F79" s="38"/>
      <c r="G79" s="38"/>
      <c r="H79" s="38"/>
      <c r="I79" s="38"/>
      <c r="J79" s="38"/>
      <c r="K79" s="38"/>
      <c r="L79" s="38"/>
      <c r="M79" s="38"/>
      <c r="N79" s="64"/>
      <c r="O79" s="38"/>
      <c r="P79" s="38"/>
      <c r="Q79" s="38"/>
      <c r="R79" s="38"/>
      <c r="S79" s="38"/>
      <c r="T79" s="38"/>
      <c r="U79" s="38"/>
      <c r="V79" s="38"/>
      <c r="W79" s="38"/>
      <c r="X79" s="39"/>
      <c r="Y79" s="38"/>
      <c r="Z79" s="77"/>
    </row>
    <row r="80" s="5" customFormat="1" ht="38.1" customHeight="1" spans="1:45">
      <c r="A80" s="37">
        <v>1</v>
      </c>
      <c r="B80" s="38" t="s">
        <v>285</v>
      </c>
      <c r="C80" s="86" t="s">
        <v>337</v>
      </c>
      <c r="D80" s="38" t="s">
        <v>338</v>
      </c>
      <c r="E80" s="38">
        <v>3.548</v>
      </c>
      <c r="F80" s="38">
        <v>6.734</v>
      </c>
      <c r="G80" s="38" t="s">
        <v>339</v>
      </c>
      <c r="H80" s="38">
        <f>F80-E80</f>
        <v>3.186</v>
      </c>
      <c r="I80" s="86" t="s">
        <v>340</v>
      </c>
      <c r="J80" s="38">
        <v>4.5</v>
      </c>
      <c r="K80" s="86" t="s">
        <v>309</v>
      </c>
      <c r="L80" s="38" t="s">
        <v>341</v>
      </c>
      <c r="M80" s="60">
        <f>1500*350/10000</f>
        <v>52.5</v>
      </c>
      <c r="N80" s="60">
        <f>M80*0.9</f>
        <v>47.25</v>
      </c>
      <c r="O80" s="38" t="s">
        <v>32</v>
      </c>
      <c r="P80" s="38" t="s">
        <v>342</v>
      </c>
      <c r="Q80" s="38">
        <v>59.33</v>
      </c>
      <c r="R80" s="38">
        <v>860</v>
      </c>
      <c r="S80" s="38">
        <v>860</v>
      </c>
      <c r="T80" s="38" t="s">
        <v>343</v>
      </c>
      <c r="U80" s="38"/>
      <c r="V80" s="38"/>
      <c r="W80" s="38" t="s">
        <v>294</v>
      </c>
      <c r="X80" s="38"/>
      <c r="Y80" s="38"/>
      <c r="Z80" s="85"/>
      <c r="AA80" s="94"/>
      <c r="AB80" s="94"/>
      <c r="AC80" s="95"/>
      <c r="AD80" s="94"/>
      <c r="AE80" s="95"/>
      <c r="AF80" s="95"/>
      <c r="AG80" s="95"/>
      <c r="AH80" s="94"/>
      <c r="AI80" s="94"/>
      <c r="AJ80" s="94"/>
      <c r="AK80" s="94"/>
      <c r="AL80" s="94"/>
      <c r="AM80" s="94"/>
      <c r="AN80" s="95"/>
      <c r="AO80" s="95"/>
      <c r="AP80" s="94"/>
      <c r="AQ80" s="94"/>
      <c r="AR80" s="95"/>
      <c r="AS80" s="96"/>
    </row>
    <row r="81" s="2" customFormat="1" ht="38.1" customHeight="1" spans="1:26">
      <c r="A81" s="90">
        <v>2</v>
      </c>
      <c r="B81" s="91" t="s">
        <v>344</v>
      </c>
      <c r="C81" s="91" t="s">
        <v>345</v>
      </c>
      <c r="D81" s="91" t="s">
        <v>346</v>
      </c>
      <c r="E81" s="91">
        <v>81.553</v>
      </c>
      <c r="F81" s="91">
        <v>84</v>
      </c>
      <c r="G81" s="91" t="s">
        <v>347</v>
      </c>
      <c r="H81" s="91">
        <f>F81-E81</f>
        <v>2.447</v>
      </c>
      <c r="I81" s="92" t="s">
        <v>340</v>
      </c>
      <c r="J81" s="91">
        <v>4.5</v>
      </c>
      <c r="K81" s="92" t="s">
        <v>309</v>
      </c>
      <c r="L81" s="91" t="s">
        <v>341</v>
      </c>
      <c r="M81" s="93">
        <f>500*350/10000</f>
        <v>17.5</v>
      </c>
      <c r="N81" s="93">
        <f>M81*0.9</f>
        <v>15.75</v>
      </c>
      <c r="O81" s="91" t="s">
        <v>32</v>
      </c>
      <c r="P81" s="91" t="s">
        <v>348</v>
      </c>
      <c r="Q81" s="91">
        <v>67.15</v>
      </c>
      <c r="R81" s="91">
        <v>520</v>
      </c>
      <c r="S81" s="91">
        <v>520</v>
      </c>
      <c r="T81" s="91" t="s">
        <v>343</v>
      </c>
      <c r="U81" s="91"/>
      <c r="V81" s="91"/>
      <c r="W81" s="91" t="s">
        <v>349</v>
      </c>
      <c r="X81" s="81"/>
      <c r="Y81" s="91"/>
      <c r="Z81" s="82"/>
    </row>
  </sheetData>
  <autoFilter ref="A1:AS81">
    <extLst/>
  </autoFilter>
  <mergeCells count="88">
    <mergeCell ref="A1:Z1"/>
    <mergeCell ref="E2:F2"/>
    <mergeCell ref="A12:D12"/>
    <mergeCell ref="A75:D75"/>
    <mergeCell ref="A79:D79"/>
    <mergeCell ref="A2:A3"/>
    <mergeCell ref="A17:A19"/>
    <mergeCell ref="A20:A21"/>
    <mergeCell ref="A22:A23"/>
    <mergeCell ref="A25:A26"/>
    <mergeCell ref="A27:A31"/>
    <mergeCell ref="A54:A58"/>
    <mergeCell ref="A59:A63"/>
    <mergeCell ref="A64:A66"/>
    <mergeCell ref="A67:A69"/>
    <mergeCell ref="A71:A72"/>
    <mergeCell ref="B2:B3"/>
    <mergeCell ref="B25:B26"/>
    <mergeCell ref="B27:B31"/>
    <mergeCell ref="B54:B58"/>
    <mergeCell ref="B59:B63"/>
    <mergeCell ref="B64:B66"/>
    <mergeCell ref="B67:B69"/>
    <mergeCell ref="B71:B72"/>
    <mergeCell ref="C2:C3"/>
    <mergeCell ref="C54:C58"/>
    <mergeCell ref="C59:C63"/>
    <mergeCell ref="C64:C66"/>
    <mergeCell ref="C67:C69"/>
    <mergeCell ref="C71:C72"/>
    <mergeCell ref="D2:D3"/>
    <mergeCell ref="D17:D19"/>
    <mergeCell ref="D20:D21"/>
    <mergeCell ref="D22:D23"/>
    <mergeCell ref="D25:D26"/>
    <mergeCell ref="D27:D31"/>
    <mergeCell ref="D54:D58"/>
    <mergeCell ref="D59:D63"/>
    <mergeCell ref="D64:D66"/>
    <mergeCell ref="D67:D69"/>
    <mergeCell ref="D71:D72"/>
    <mergeCell ref="G2:G3"/>
    <mergeCell ref="G55:G58"/>
    <mergeCell ref="H2:H3"/>
    <mergeCell ref="I2:I3"/>
    <mergeCell ref="I54:I58"/>
    <mergeCell ref="J2:J3"/>
    <mergeCell ref="J54:J58"/>
    <mergeCell ref="K2:K3"/>
    <mergeCell ref="K54:K58"/>
    <mergeCell ref="L2:L3"/>
    <mergeCell ref="L35:L36"/>
    <mergeCell ref="L45:L48"/>
    <mergeCell ref="L54:L58"/>
    <mergeCell ref="M2:M3"/>
    <mergeCell ref="M54:M58"/>
    <mergeCell ref="M59:M63"/>
    <mergeCell ref="N2:N3"/>
    <mergeCell ref="N54:N58"/>
    <mergeCell ref="N59:N63"/>
    <mergeCell ref="O2:O3"/>
    <mergeCell ref="P2:P3"/>
    <mergeCell ref="P54:P58"/>
    <mergeCell ref="Q2:Q3"/>
    <mergeCell ref="R2:R3"/>
    <mergeCell ref="R54:R58"/>
    <mergeCell ref="S2:S3"/>
    <mergeCell ref="S54:S58"/>
    <mergeCell ref="T2:T3"/>
    <mergeCell ref="T35:T36"/>
    <mergeCell ref="T55:T58"/>
    <mergeCell ref="U2:U3"/>
    <mergeCell ref="U54:U58"/>
    <mergeCell ref="V2:V3"/>
    <mergeCell ref="V54:V58"/>
    <mergeCell ref="W2:W3"/>
    <mergeCell ref="W54:W58"/>
    <mergeCell ref="X2:X3"/>
    <mergeCell ref="X54:X58"/>
    <mergeCell ref="Y2:Y3"/>
    <mergeCell ref="Y54:Y58"/>
    <mergeCell ref="Y59:Y63"/>
    <mergeCell ref="Y64:Y66"/>
    <mergeCell ref="Y67:Y69"/>
    <mergeCell ref="Y71:Y72"/>
    <mergeCell ref="Z2:Z3"/>
    <mergeCell ref="A8:C11"/>
    <mergeCell ref="A4:C7"/>
  </mergeCells>
  <pageMargins left="0.748031496062992" right="0.748031496062992" top="0.984251968503937" bottom="0.984251968503937" header="0.511811023622047" footer="0.511811023622047"/>
  <pageSetup paperSize="9" scale="4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2024年第二批路面养护工程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Johnny Liu</cp:lastModifiedBy>
  <dcterms:created xsi:type="dcterms:W3CDTF">2015-06-10T10:19:00Z</dcterms:created>
  <cp:lastPrinted>2024-05-11T16:58:00Z</cp:lastPrinted>
  <dcterms:modified xsi:type="dcterms:W3CDTF">2024-08-26T01:50:09Z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64539D61C151984F7629E86598E0A79C</vt:lpwstr>
  </property>
</Properties>
</file>